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oza363\Downloads\"/>
    </mc:Choice>
  </mc:AlternateContent>
  <xr:revisionPtr revIDLastSave="0" documentId="8_{C3143B9E-E671-4057-898B-64AD13E6C6DF}" xr6:coauthVersionLast="47" xr6:coauthVersionMax="47" xr10:uidLastSave="{00000000-0000-0000-0000-000000000000}"/>
  <bookViews>
    <workbookView xWindow="-120" yWindow="-120" windowWidth="29040" windowHeight="15720" tabRatio="695" xr2:uid="{00000000-000D-0000-FFFF-FFFF00000000}"/>
  </bookViews>
  <sheets>
    <sheet name="Period 1" sheetId="30" r:id="rId1"/>
    <sheet name="Period 2" sheetId="62" r:id="rId2"/>
    <sheet name="Per6" sheetId="57" state="hidden" r:id="rId3"/>
    <sheet name="Per7" sheetId="58" state="hidden" r:id="rId4"/>
    <sheet name="Per8" sheetId="59" state="hidden" r:id="rId5"/>
    <sheet name="Per9" sheetId="60" state="hidden" r:id="rId6"/>
    <sheet name="Per10" sheetId="61" state="hidden" r:id="rId7"/>
    <sheet name="Setup_L4 (RSC use only)" sheetId="46" state="hidden" r:id="rId8"/>
    <sheet name="Setup_L5 (RSC use only)" sheetId="43" state="hidden" r:id="rId9"/>
  </sheets>
  <definedNames>
    <definedName name="EmpPer" localSheetId="1">'Period 2'!$C$11:$C$17</definedName>
    <definedName name="EmpPer">'Period 1'!$C$11:$C$17</definedName>
    <definedName name="FT_BE_09" localSheetId="1">'Period 2'!$E$11:$E$16</definedName>
    <definedName name="FT_BE_09">'Period 1'!$E$11:$E$16</definedName>
    <definedName name="FT_BE_12" localSheetId="1">'Period 2'!#REF!</definedName>
    <definedName name="FT_BE_12">'Period 1'!#REF!</definedName>
    <definedName name="Hourly" localSheetId="1">'Period 2'!$H$11:$H$12</definedName>
    <definedName name="Hourly">'Period 1'!$H$11:$H$12</definedName>
    <definedName name="_xlnm.Print_Area" localSheetId="6">'Per10'!$A$1:$O$149</definedName>
    <definedName name="_xlnm.Print_Area" localSheetId="2">'Per6'!$A$1:$O$149</definedName>
    <definedName name="_xlnm.Print_Area" localSheetId="3">'Per7'!$A$1:$O$149</definedName>
    <definedName name="_xlnm.Print_Area" localSheetId="4">'Per8'!$A$1:$O$149</definedName>
    <definedName name="_xlnm.Print_Area" localSheetId="5">'Per9'!$A$1:$O$149</definedName>
    <definedName name="_xlnm.Print_Area" localSheetId="0">'Period 1'!$B$1:$M$85</definedName>
    <definedName name="_xlnm.Print_Area" localSheetId="1">'Period 2'!$B$1:$M$85</definedName>
    <definedName name="_xlnm.Print_Area" localSheetId="7">'Setup_L4 (RSC use only)'!$A$1:$K$44</definedName>
    <definedName name="_xlnm.Print_Area" localSheetId="8">'Setup_L5 (RSC use only)'!$A$1:$K$45</definedName>
    <definedName name="PT_BE_12" localSheetId="1">'Period 2'!$F$11:$F$16</definedName>
    <definedName name="PT_BE_12">'Period 1'!$F$11:$F$16</definedName>
    <definedName name="PT_NB_12" localSheetId="1">'Period 2'!#REF!</definedName>
    <definedName name="PT_NB_12">'Period 1'!#REF!</definedName>
    <definedName name="Select" localSheetId="1">'Period 2'!$G$11</definedName>
    <definedName name="Select">'Period 1'!$G$11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69" i="62" l="1"/>
  <c r="M64" i="62"/>
  <c r="M60" i="62"/>
  <c r="M59" i="62"/>
  <c r="M56" i="62"/>
  <c r="L56" i="62"/>
  <c r="K56" i="62"/>
  <c r="J56" i="62"/>
  <c r="I56" i="62"/>
  <c r="M55" i="62"/>
  <c r="L55" i="62"/>
  <c r="K55" i="62"/>
  <c r="J55" i="62"/>
  <c r="I55" i="62"/>
  <c r="M54" i="62"/>
  <c r="L54" i="62"/>
  <c r="K54" i="62"/>
  <c r="J54" i="62"/>
  <c r="I54" i="62"/>
  <c r="M53" i="62"/>
  <c r="L53" i="62"/>
  <c r="K53" i="62"/>
  <c r="J53" i="62"/>
  <c r="I53" i="62"/>
  <c r="M52" i="62"/>
  <c r="L52" i="62"/>
  <c r="K52" i="62"/>
  <c r="J52" i="62"/>
  <c r="I52" i="62"/>
  <c r="M51" i="62"/>
  <c r="L51" i="62"/>
  <c r="K51" i="62"/>
  <c r="J51" i="62"/>
  <c r="I51" i="62"/>
  <c r="M50" i="62"/>
  <c r="L50" i="62"/>
  <c r="K50" i="62"/>
  <c r="J50" i="62"/>
  <c r="I50" i="62"/>
  <c r="M49" i="62"/>
  <c r="L49" i="62"/>
  <c r="K49" i="62"/>
  <c r="J49" i="62"/>
  <c r="I49" i="62"/>
  <c r="M48" i="62"/>
  <c r="L48" i="62"/>
  <c r="K48" i="62"/>
  <c r="J48" i="62"/>
  <c r="I48" i="62"/>
  <c r="M47" i="62"/>
  <c r="L47" i="62"/>
  <c r="K47" i="62"/>
  <c r="J47" i="62"/>
  <c r="I47" i="62"/>
  <c r="M46" i="62"/>
  <c r="L46" i="62"/>
  <c r="K46" i="62"/>
  <c r="J46" i="62"/>
  <c r="I46" i="62"/>
  <c r="M45" i="62"/>
  <c r="L45" i="62"/>
  <c r="K45" i="62"/>
  <c r="J45" i="62"/>
  <c r="I45" i="62"/>
  <c r="M44" i="62"/>
  <c r="L44" i="62"/>
  <c r="K44" i="62"/>
  <c r="J44" i="62"/>
  <c r="I44" i="62"/>
  <c r="M43" i="62"/>
  <c r="L43" i="62"/>
  <c r="K43" i="62"/>
  <c r="J43" i="62"/>
  <c r="I43" i="62"/>
  <c r="M42" i="62"/>
  <c r="L42" i="62"/>
  <c r="K42" i="62"/>
  <c r="J42" i="62"/>
  <c r="I42" i="62"/>
  <c r="M41" i="62"/>
  <c r="L41" i="62"/>
  <c r="K41" i="62"/>
  <c r="J41" i="62"/>
  <c r="I41" i="62"/>
  <c r="M40" i="62"/>
  <c r="L40" i="62"/>
  <c r="K40" i="62"/>
  <c r="J40" i="62"/>
  <c r="I40" i="62"/>
  <c r="M39" i="62"/>
  <c r="L39" i="62"/>
  <c r="K39" i="62"/>
  <c r="J39" i="62"/>
  <c r="I39" i="62"/>
  <c r="M38" i="62"/>
  <c r="M57" i="62" s="1"/>
  <c r="L38" i="62"/>
  <c r="K38" i="62"/>
  <c r="J38" i="62"/>
  <c r="I38" i="62"/>
  <c r="M37" i="62"/>
  <c r="L37" i="62"/>
  <c r="L57" i="62" s="1"/>
  <c r="K37" i="62"/>
  <c r="K57" i="62" s="1"/>
  <c r="J37" i="62"/>
  <c r="J57" i="62" s="1"/>
  <c r="I37" i="62"/>
  <c r="I57" i="62" s="1"/>
  <c r="I33" i="62"/>
  <c r="I32" i="62"/>
  <c r="I31" i="62"/>
  <c r="I30" i="62"/>
  <c r="I29" i="62"/>
  <c r="I28" i="62"/>
  <c r="I27" i="62"/>
  <c r="I26" i="62"/>
  <c r="I25" i="62"/>
  <c r="I24" i="62"/>
  <c r="I23" i="62"/>
  <c r="J22" i="62"/>
  <c r="I22" i="62"/>
  <c r="J21" i="62"/>
  <c r="I21" i="62"/>
  <c r="J20" i="62"/>
  <c r="I20" i="62"/>
  <c r="J19" i="62"/>
  <c r="I19" i="62"/>
  <c r="J18" i="62"/>
  <c r="I18" i="62"/>
  <c r="J17" i="62"/>
  <c r="I17" i="62"/>
  <c r="J16" i="62"/>
  <c r="I16" i="62"/>
  <c r="J15" i="62"/>
  <c r="I15" i="62"/>
  <c r="F15" i="62"/>
  <c r="E15" i="62"/>
  <c r="J14" i="62"/>
  <c r="I14" i="62"/>
  <c r="F14" i="62"/>
  <c r="E14" i="62"/>
  <c r="J13" i="62"/>
  <c r="I13" i="62"/>
  <c r="F13" i="62"/>
  <c r="E13" i="62"/>
  <c r="J12" i="62"/>
  <c r="I12" i="62"/>
  <c r="F12" i="62"/>
  <c r="E12" i="62"/>
  <c r="J11" i="62"/>
  <c r="I11" i="62"/>
  <c r="H11" i="62"/>
  <c r="G11" i="62"/>
  <c r="F11" i="62"/>
  <c r="E11" i="62"/>
  <c r="M35" i="62" l="1"/>
  <c r="M82" i="62" s="1"/>
  <c r="M38" i="30" l="1"/>
  <c r="M39" i="30"/>
  <c r="M40" i="30"/>
  <c r="M41" i="30"/>
  <c r="M42" i="30"/>
  <c r="M43" i="30"/>
  <c r="M44" i="30"/>
  <c r="M45" i="30"/>
  <c r="M46" i="30"/>
  <c r="M47" i="30"/>
  <c r="M48" i="30"/>
  <c r="M49" i="30"/>
  <c r="M50" i="30"/>
  <c r="M51" i="30"/>
  <c r="M52" i="30"/>
  <c r="M53" i="30"/>
  <c r="M54" i="30"/>
  <c r="M55" i="30"/>
  <c r="M56" i="30"/>
  <c r="M37" i="30"/>
  <c r="L38" i="30"/>
  <c r="L39" i="30"/>
  <c r="L40" i="30"/>
  <c r="L41" i="30"/>
  <c r="L42" i="30"/>
  <c r="L43" i="30"/>
  <c r="L44" i="30"/>
  <c r="L45" i="30"/>
  <c r="L46" i="30"/>
  <c r="L47" i="30"/>
  <c r="L48" i="30"/>
  <c r="L49" i="30"/>
  <c r="L50" i="30"/>
  <c r="L51" i="30"/>
  <c r="L52" i="30"/>
  <c r="L53" i="30"/>
  <c r="L54" i="30"/>
  <c r="L55" i="30"/>
  <c r="L56" i="30"/>
  <c r="L37" i="30"/>
  <c r="K38" i="30"/>
  <c r="K39" i="30"/>
  <c r="K40" i="30"/>
  <c r="K41" i="30"/>
  <c r="K42" i="30"/>
  <c r="K43" i="30"/>
  <c r="K44" i="30"/>
  <c r="K45" i="30"/>
  <c r="K46" i="30"/>
  <c r="K47" i="30"/>
  <c r="K48" i="30"/>
  <c r="K49" i="30"/>
  <c r="K50" i="30"/>
  <c r="K51" i="30"/>
  <c r="K52" i="30"/>
  <c r="K53" i="30"/>
  <c r="K54" i="30"/>
  <c r="K55" i="30"/>
  <c r="K56" i="30"/>
  <c r="K37" i="30"/>
  <c r="J38" i="30"/>
  <c r="J39" i="30"/>
  <c r="J40" i="30"/>
  <c r="J41" i="30"/>
  <c r="J42" i="30"/>
  <c r="J43" i="30"/>
  <c r="J44" i="30"/>
  <c r="J45" i="30"/>
  <c r="J46" i="30"/>
  <c r="J47" i="30"/>
  <c r="J48" i="30"/>
  <c r="J49" i="30"/>
  <c r="J50" i="30"/>
  <c r="J51" i="30"/>
  <c r="J52" i="30"/>
  <c r="J53" i="30"/>
  <c r="J54" i="30"/>
  <c r="J55" i="30"/>
  <c r="J56" i="30"/>
  <c r="J37" i="30"/>
  <c r="I38" i="30" l="1"/>
  <c r="I39" i="30"/>
  <c r="I40" i="30"/>
  <c r="I41" i="30"/>
  <c r="I42" i="30"/>
  <c r="I43" i="30"/>
  <c r="I44" i="30"/>
  <c r="I45" i="30"/>
  <c r="I46" i="30"/>
  <c r="I47" i="30"/>
  <c r="I48" i="30"/>
  <c r="I49" i="30"/>
  <c r="I50" i="30"/>
  <c r="I51" i="30"/>
  <c r="I52" i="30"/>
  <c r="I53" i="30"/>
  <c r="I54" i="30"/>
  <c r="I55" i="30"/>
  <c r="I56" i="30"/>
  <c r="L57" i="30" l="1"/>
  <c r="M69" i="30" l="1"/>
  <c r="M60" i="30"/>
  <c r="M64" i="30"/>
  <c r="M59" i="30" l="1"/>
  <c r="J57" i="30"/>
  <c r="J148" i="61"/>
  <c r="J148" i="60"/>
  <c r="J148" i="59"/>
  <c r="J148" i="58"/>
  <c r="K135" i="61"/>
  <c r="K134" i="61"/>
  <c r="K133" i="61"/>
  <c r="K132" i="61"/>
  <c r="K131" i="61"/>
  <c r="K130" i="61"/>
  <c r="K129" i="61"/>
  <c r="K128" i="61"/>
  <c r="K127" i="61"/>
  <c r="K126" i="61"/>
  <c r="K125" i="61"/>
  <c r="K124" i="61"/>
  <c r="K123" i="61"/>
  <c r="K122" i="61"/>
  <c r="K121" i="61"/>
  <c r="K135" i="60"/>
  <c r="K134" i="60"/>
  <c r="K133" i="60"/>
  <c r="K132" i="60"/>
  <c r="K131" i="60"/>
  <c r="K130" i="60"/>
  <c r="K129" i="60"/>
  <c r="K128" i="60"/>
  <c r="K127" i="60"/>
  <c r="K126" i="60"/>
  <c r="K125" i="60"/>
  <c r="K124" i="60"/>
  <c r="K123" i="60"/>
  <c r="K122" i="60"/>
  <c r="K121" i="60"/>
  <c r="K135" i="59"/>
  <c r="K134" i="59"/>
  <c r="K133" i="59"/>
  <c r="K132" i="59"/>
  <c r="K131" i="59"/>
  <c r="K130" i="59"/>
  <c r="K129" i="59"/>
  <c r="K128" i="59"/>
  <c r="K127" i="59"/>
  <c r="K126" i="59"/>
  <c r="K125" i="59"/>
  <c r="K124" i="59"/>
  <c r="K123" i="59"/>
  <c r="K122" i="59"/>
  <c r="K121" i="59"/>
  <c r="K135" i="58"/>
  <c r="K134" i="58"/>
  <c r="K133" i="58"/>
  <c r="K132" i="58"/>
  <c r="K131" i="58"/>
  <c r="K130" i="58"/>
  <c r="K129" i="58"/>
  <c r="K128" i="58"/>
  <c r="K127" i="58"/>
  <c r="K126" i="58"/>
  <c r="K125" i="58"/>
  <c r="K124" i="58"/>
  <c r="K123" i="58"/>
  <c r="K122" i="58"/>
  <c r="K121" i="58"/>
  <c r="K122" i="57"/>
  <c r="K123" i="57"/>
  <c r="K124" i="57"/>
  <c r="K125" i="57"/>
  <c r="K126" i="57"/>
  <c r="K127" i="57"/>
  <c r="K128" i="57"/>
  <c r="K129" i="57"/>
  <c r="K130" i="57"/>
  <c r="K131" i="57"/>
  <c r="K132" i="57"/>
  <c r="K133" i="57"/>
  <c r="K134" i="57"/>
  <c r="K135" i="57"/>
  <c r="K121" i="57"/>
  <c r="J148" i="57"/>
  <c r="O9" i="61"/>
  <c r="N9" i="61"/>
  <c r="O8" i="61"/>
  <c r="N8" i="61"/>
  <c r="O7" i="61"/>
  <c r="N7" i="61"/>
  <c r="O6" i="61"/>
  <c r="N6" i="61"/>
  <c r="O9" i="60"/>
  <c r="N9" i="60"/>
  <c r="O8" i="60"/>
  <c r="N8" i="60"/>
  <c r="O7" i="60"/>
  <c r="N7" i="60"/>
  <c r="O6" i="60"/>
  <c r="N6" i="60"/>
  <c r="O9" i="59"/>
  <c r="N9" i="59"/>
  <c r="O8" i="59"/>
  <c r="N8" i="59"/>
  <c r="O7" i="59"/>
  <c r="N7" i="59"/>
  <c r="O6" i="59"/>
  <c r="N6" i="59"/>
  <c r="O9" i="58"/>
  <c r="N9" i="58"/>
  <c r="O8" i="58"/>
  <c r="N8" i="58"/>
  <c r="O7" i="58"/>
  <c r="N7" i="58"/>
  <c r="O6" i="58"/>
  <c r="N6" i="58"/>
  <c r="O9" i="57"/>
  <c r="N9" i="57"/>
  <c r="O8" i="57"/>
  <c r="N8" i="57"/>
  <c r="O7" i="57"/>
  <c r="N7" i="57"/>
  <c r="O6" i="57"/>
  <c r="N6" i="57"/>
  <c r="L14" i="61" l="1"/>
  <c r="L13" i="61"/>
  <c r="L20" i="61"/>
  <c r="L11" i="61"/>
  <c r="L18" i="60"/>
  <c r="L17" i="60"/>
  <c r="L20" i="60"/>
  <c r="L11" i="60"/>
  <c r="L22" i="59"/>
  <c r="L13" i="59"/>
  <c r="L20" i="59"/>
  <c r="L11" i="59"/>
  <c r="L18" i="58"/>
  <c r="L17" i="58"/>
  <c r="L16" i="58"/>
  <c r="L11" i="58"/>
  <c r="L18" i="57"/>
  <c r="L13" i="57"/>
  <c r="L20" i="57"/>
  <c r="L19" i="57"/>
  <c r="H118" i="57"/>
  <c r="H118" i="58"/>
  <c r="O138" i="58" s="1"/>
  <c r="H118" i="59"/>
  <c r="O138" i="59" s="1"/>
  <c r="H118" i="60"/>
  <c r="O138" i="60" s="1"/>
  <c r="H118" i="61"/>
  <c r="O138" i="61" s="1"/>
  <c r="K32" i="61"/>
  <c r="K31" i="61"/>
  <c r="K30" i="61"/>
  <c r="K29" i="61"/>
  <c r="K27" i="61"/>
  <c r="K26" i="61"/>
  <c r="K25" i="61"/>
  <c r="K24" i="61"/>
  <c r="K23" i="61"/>
  <c r="K22" i="61"/>
  <c r="K21" i="61"/>
  <c r="K20" i="61"/>
  <c r="K19" i="61"/>
  <c r="L18" i="61"/>
  <c r="K18" i="61"/>
  <c r="K17" i="61"/>
  <c r="K16" i="61"/>
  <c r="K15" i="61"/>
  <c r="G15" i="61"/>
  <c r="F15" i="61"/>
  <c r="E15" i="61"/>
  <c r="K14" i="61"/>
  <c r="G14" i="61"/>
  <c r="F14" i="61"/>
  <c r="E14" i="61"/>
  <c r="C14" i="61"/>
  <c r="K13" i="61"/>
  <c r="G13" i="61"/>
  <c r="F13" i="61"/>
  <c r="E13" i="61"/>
  <c r="C13" i="61"/>
  <c r="K12" i="61"/>
  <c r="G12" i="61"/>
  <c r="F12" i="61"/>
  <c r="E12" i="61"/>
  <c r="C12" i="61"/>
  <c r="K11" i="61"/>
  <c r="J11" i="61"/>
  <c r="K28" i="61" s="1"/>
  <c r="I11" i="61"/>
  <c r="H11" i="61"/>
  <c r="G11" i="61"/>
  <c r="F11" i="61"/>
  <c r="E11" i="61"/>
  <c r="C11" i="61"/>
  <c r="K32" i="60"/>
  <c r="K31" i="60"/>
  <c r="K30" i="60"/>
  <c r="K29" i="60"/>
  <c r="K27" i="60"/>
  <c r="K26" i="60"/>
  <c r="K25" i="60"/>
  <c r="K24" i="60"/>
  <c r="K23" i="60"/>
  <c r="K22" i="60"/>
  <c r="K21" i="60"/>
  <c r="K20" i="60"/>
  <c r="K19" i="60"/>
  <c r="K18" i="60"/>
  <c r="K17" i="60"/>
  <c r="K16" i="60"/>
  <c r="K15" i="60"/>
  <c r="G15" i="60"/>
  <c r="F15" i="60"/>
  <c r="E15" i="60"/>
  <c r="K14" i="60"/>
  <c r="G14" i="60"/>
  <c r="F14" i="60"/>
  <c r="E14" i="60"/>
  <c r="C14" i="60"/>
  <c r="K13" i="60"/>
  <c r="G13" i="60"/>
  <c r="F13" i="60"/>
  <c r="E13" i="60"/>
  <c r="C13" i="60"/>
  <c r="K12" i="60"/>
  <c r="G12" i="60"/>
  <c r="F12" i="60"/>
  <c r="E12" i="60"/>
  <c r="C12" i="60"/>
  <c r="K11" i="60"/>
  <c r="J11" i="60"/>
  <c r="K28" i="60" s="1"/>
  <c r="I11" i="60"/>
  <c r="H11" i="60"/>
  <c r="G11" i="60"/>
  <c r="F11" i="60"/>
  <c r="E11" i="60"/>
  <c r="C11" i="60"/>
  <c r="K32" i="59"/>
  <c r="K31" i="59"/>
  <c r="K30" i="59"/>
  <c r="K29" i="59"/>
  <c r="K27" i="59"/>
  <c r="K26" i="59"/>
  <c r="K25" i="59"/>
  <c r="K24" i="59"/>
  <c r="K23" i="59"/>
  <c r="K22" i="59"/>
  <c r="K21" i="59"/>
  <c r="K20" i="59"/>
  <c r="K19" i="59"/>
  <c r="K18" i="59"/>
  <c r="K17" i="59"/>
  <c r="K16" i="59"/>
  <c r="K15" i="59"/>
  <c r="G15" i="59"/>
  <c r="F15" i="59"/>
  <c r="E15" i="59"/>
  <c r="K14" i="59"/>
  <c r="G14" i="59"/>
  <c r="F14" i="59"/>
  <c r="E14" i="59"/>
  <c r="C14" i="59"/>
  <c r="K13" i="59"/>
  <c r="G13" i="59"/>
  <c r="F13" i="59"/>
  <c r="E13" i="59"/>
  <c r="C13" i="59"/>
  <c r="K12" i="59"/>
  <c r="G12" i="59"/>
  <c r="F12" i="59"/>
  <c r="E12" i="59"/>
  <c r="C12" i="59"/>
  <c r="K11" i="59"/>
  <c r="J11" i="59"/>
  <c r="K28" i="59" s="1"/>
  <c r="I11" i="59"/>
  <c r="H11" i="59"/>
  <c r="G11" i="59"/>
  <c r="F11" i="59"/>
  <c r="E11" i="59"/>
  <c r="C11" i="59"/>
  <c r="K32" i="58"/>
  <c r="K31" i="58"/>
  <c r="K30" i="58"/>
  <c r="K29" i="58"/>
  <c r="K27" i="58"/>
  <c r="K26" i="58"/>
  <c r="K25" i="58"/>
  <c r="K24" i="58"/>
  <c r="K23" i="58"/>
  <c r="K22" i="58"/>
  <c r="K21" i="58"/>
  <c r="K20" i="58"/>
  <c r="K19" i="58"/>
  <c r="K18" i="58"/>
  <c r="K17" i="58"/>
  <c r="K16" i="58"/>
  <c r="K15" i="58"/>
  <c r="G15" i="58"/>
  <c r="F15" i="58"/>
  <c r="E15" i="58"/>
  <c r="K14" i="58"/>
  <c r="G14" i="58"/>
  <c r="F14" i="58"/>
  <c r="E14" i="58"/>
  <c r="C14" i="58"/>
  <c r="K13" i="58"/>
  <c r="G13" i="58"/>
  <c r="F13" i="58"/>
  <c r="E13" i="58"/>
  <c r="C13" i="58"/>
  <c r="K12" i="58"/>
  <c r="G12" i="58"/>
  <c r="F12" i="58"/>
  <c r="E12" i="58"/>
  <c r="C12" i="58"/>
  <c r="K11" i="58"/>
  <c r="J11" i="58"/>
  <c r="K28" i="58" s="1"/>
  <c r="I11" i="58"/>
  <c r="H11" i="58"/>
  <c r="G11" i="58"/>
  <c r="F11" i="58"/>
  <c r="E11" i="58"/>
  <c r="C11" i="58"/>
  <c r="K32" i="57"/>
  <c r="K31" i="57"/>
  <c r="K30" i="57"/>
  <c r="K29" i="57"/>
  <c r="K27" i="57"/>
  <c r="K26" i="57"/>
  <c r="K25" i="57"/>
  <c r="K24" i="57"/>
  <c r="K23" i="57"/>
  <c r="K22" i="57"/>
  <c r="K21" i="57"/>
  <c r="K20" i="57"/>
  <c r="K19" i="57"/>
  <c r="K18" i="57"/>
  <c r="K17" i="57"/>
  <c r="K16" i="57"/>
  <c r="K15" i="57"/>
  <c r="G15" i="57"/>
  <c r="F15" i="57"/>
  <c r="E15" i="57"/>
  <c r="K14" i="57"/>
  <c r="G14" i="57"/>
  <c r="F14" i="57"/>
  <c r="E14" i="57"/>
  <c r="C14" i="57"/>
  <c r="K13" i="57"/>
  <c r="G13" i="57"/>
  <c r="F13" i="57"/>
  <c r="E13" i="57"/>
  <c r="C13" i="57"/>
  <c r="K12" i="57"/>
  <c r="G12" i="57"/>
  <c r="F12" i="57"/>
  <c r="E12" i="57"/>
  <c r="C12" i="57"/>
  <c r="K11" i="57"/>
  <c r="J11" i="57"/>
  <c r="K28" i="57" s="1"/>
  <c r="I11" i="57"/>
  <c r="H11" i="57"/>
  <c r="G11" i="57"/>
  <c r="F11" i="57"/>
  <c r="E11" i="57"/>
  <c r="C11" i="57"/>
  <c r="I32" i="30"/>
  <c r="I31" i="30"/>
  <c r="I30" i="30"/>
  <c r="G84" i="46"/>
  <c r="G78" i="46"/>
  <c r="G72" i="46"/>
  <c r="G66" i="46"/>
  <c r="G60" i="46"/>
  <c r="G54" i="46"/>
  <c r="G48" i="46"/>
  <c r="A90" i="46"/>
  <c r="A84" i="46"/>
  <c r="A78" i="46"/>
  <c r="A72" i="46"/>
  <c r="A66" i="46"/>
  <c r="A60" i="46"/>
  <c r="A54" i="46"/>
  <c r="A48" i="46"/>
  <c r="J100" i="61"/>
  <c r="F118" i="61"/>
  <c r="J117" i="61"/>
  <c r="J116" i="61"/>
  <c r="J115" i="61"/>
  <c r="J114" i="61"/>
  <c r="J113" i="61"/>
  <c r="J112" i="61"/>
  <c r="J111" i="61"/>
  <c r="J110" i="61"/>
  <c r="J109" i="61"/>
  <c r="J108" i="61"/>
  <c r="J107" i="61"/>
  <c r="J106" i="61"/>
  <c r="J105" i="61"/>
  <c r="J104" i="61"/>
  <c r="J103" i="61"/>
  <c r="J102" i="61"/>
  <c r="J101" i="61"/>
  <c r="J99" i="61"/>
  <c r="J98" i="61"/>
  <c r="O88" i="61"/>
  <c r="O83" i="61"/>
  <c r="O79" i="61"/>
  <c r="O67" i="61"/>
  <c r="O64" i="61"/>
  <c r="F118" i="60"/>
  <c r="J117" i="60"/>
  <c r="J116" i="60"/>
  <c r="J115" i="60"/>
  <c r="J114" i="60"/>
  <c r="J113" i="60"/>
  <c r="J112" i="60"/>
  <c r="J111" i="60"/>
  <c r="J110" i="60"/>
  <c r="J109" i="60"/>
  <c r="J108" i="60"/>
  <c r="J107" i="60"/>
  <c r="J106" i="60"/>
  <c r="J105" i="60"/>
  <c r="J104" i="60"/>
  <c r="J103" i="60"/>
  <c r="J102" i="60"/>
  <c r="J101" i="60"/>
  <c r="J100" i="60"/>
  <c r="J99" i="60"/>
  <c r="J98" i="60"/>
  <c r="O88" i="60"/>
  <c r="O83" i="60"/>
  <c r="O79" i="60"/>
  <c r="O67" i="60"/>
  <c r="O64" i="60"/>
  <c r="F118" i="59"/>
  <c r="J117" i="59"/>
  <c r="J116" i="59"/>
  <c r="J115" i="59"/>
  <c r="J114" i="59"/>
  <c r="J113" i="59"/>
  <c r="J112" i="59"/>
  <c r="J111" i="59"/>
  <c r="J110" i="59"/>
  <c r="J109" i="59"/>
  <c r="J108" i="59"/>
  <c r="J107" i="59"/>
  <c r="J106" i="59"/>
  <c r="J105" i="59"/>
  <c r="J104" i="59"/>
  <c r="J103" i="59"/>
  <c r="J102" i="59"/>
  <c r="J101" i="59"/>
  <c r="J100" i="59"/>
  <c r="J99" i="59"/>
  <c r="J98" i="59"/>
  <c r="O88" i="59"/>
  <c r="O83" i="59"/>
  <c r="O79" i="59"/>
  <c r="O67" i="59"/>
  <c r="O64" i="59"/>
  <c r="F118" i="58"/>
  <c r="J117" i="58"/>
  <c r="J116" i="58"/>
  <c r="J115" i="58"/>
  <c r="J114" i="58"/>
  <c r="J113" i="58"/>
  <c r="J112" i="58"/>
  <c r="J111" i="58"/>
  <c r="J110" i="58"/>
  <c r="J109" i="58"/>
  <c r="J108" i="58"/>
  <c r="J107" i="58"/>
  <c r="J106" i="58"/>
  <c r="J105" i="58"/>
  <c r="J104" i="58"/>
  <c r="J103" i="58"/>
  <c r="J102" i="58"/>
  <c r="J101" i="58"/>
  <c r="J100" i="58"/>
  <c r="J99" i="58"/>
  <c r="J98" i="58"/>
  <c r="O88" i="58"/>
  <c r="O83" i="58"/>
  <c r="O79" i="58"/>
  <c r="O67" i="58"/>
  <c r="O64" i="58"/>
  <c r="F118" i="57"/>
  <c r="J117" i="57"/>
  <c r="J116" i="57"/>
  <c r="J115" i="57"/>
  <c r="J114" i="57"/>
  <c r="J113" i="57"/>
  <c r="J112" i="57"/>
  <c r="J111" i="57"/>
  <c r="J110" i="57"/>
  <c r="J109" i="57"/>
  <c r="J108" i="57"/>
  <c r="J107" i="57"/>
  <c r="J106" i="57"/>
  <c r="J105" i="57"/>
  <c r="J104" i="57"/>
  <c r="J103" i="57"/>
  <c r="J102" i="57"/>
  <c r="J101" i="57"/>
  <c r="J100" i="57"/>
  <c r="J99" i="57"/>
  <c r="J98" i="57"/>
  <c r="O88" i="57"/>
  <c r="O83" i="57"/>
  <c r="O79" i="57"/>
  <c r="O67" i="57"/>
  <c r="O64" i="57"/>
  <c r="D7" i="57"/>
  <c r="D7" i="58" s="1"/>
  <c r="D7" i="59" s="1"/>
  <c r="D7" i="60" s="1"/>
  <c r="D7" i="61" s="1"/>
  <c r="D5" i="57"/>
  <c r="D5" i="58" s="1"/>
  <c r="D5" i="59" s="1"/>
  <c r="D5" i="60" s="1"/>
  <c r="D5" i="61" s="1"/>
  <c r="D3" i="57"/>
  <c r="D3" i="58" s="1"/>
  <c r="D3" i="59" s="1"/>
  <c r="D3" i="60" s="1"/>
  <c r="D3" i="61" s="1"/>
  <c r="F38" i="57"/>
  <c r="F38" i="58" s="1"/>
  <c r="F38" i="59" s="1"/>
  <c r="F38" i="60" s="1"/>
  <c r="F38" i="61" s="1"/>
  <c r="F39" i="57"/>
  <c r="F39" i="58" s="1"/>
  <c r="F39" i="59" s="1"/>
  <c r="F39" i="60" s="1"/>
  <c r="F39" i="61" s="1"/>
  <c r="F40" i="57"/>
  <c r="F40" i="58" s="1"/>
  <c r="F40" i="59" s="1"/>
  <c r="F40" i="60" s="1"/>
  <c r="F40" i="61" s="1"/>
  <c r="F41" i="57"/>
  <c r="F41" i="58" s="1"/>
  <c r="F41" i="59" s="1"/>
  <c r="F41" i="60" s="1"/>
  <c r="F41" i="61" s="1"/>
  <c r="F42" i="57"/>
  <c r="F42" i="58" s="1"/>
  <c r="F42" i="59" s="1"/>
  <c r="F42" i="60" s="1"/>
  <c r="F42" i="61" s="1"/>
  <c r="F43" i="57"/>
  <c r="F43" i="58" s="1"/>
  <c r="F43" i="59" s="1"/>
  <c r="F43" i="60" s="1"/>
  <c r="F43" i="61" s="1"/>
  <c r="F44" i="57"/>
  <c r="F44" i="58" s="1"/>
  <c r="F44" i="59" s="1"/>
  <c r="F44" i="60" s="1"/>
  <c r="F44" i="61" s="1"/>
  <c r="F45" i="57"/>
  <c r="F45" i="58" s="1"/>
  <c r="F45" i="59" s="1"/>
  <c r="F45" i="60" s="1"/>
  <c r="F45" i="61" s="1"/>
  <c r="F46" i="57"/>
  <c r="F46" i="58" s="1"/>
  <c r="F46" i="59" s="1"/>
  <c r="F46" i="60" s="1"/>
  <c r="F46" i="61" s="1"/>
  <c r="F47" i="57"/>
  <c r="F47" i="58" s="1"/>
  <c r="F47" i="59" s="1"/>
  <c r="F47" i="60" s="1"/>
  <c r="F47" i="61" s="1"/>
  <c r="F48" i="57"/>
  <c r="F48" i="58" s="1"/>
  <c r="F48" i="59" s="1"/>
  <c r="F48" i="60" s="1"/>
  <c r="F48" i="61" s="1"/>
  <c r="F49" i="57"/>
  <c r="F49" i="58" s="1"/>
  <c r="F49" i="59" s="1"/>
  <c r="F49" i="60" s="1"/>
  <c r="F49" i="61" s="1"/>
  <c r="F50" i="57"/>
  <c r="F50" i="58" s="1"/>
  <c r="F50" i="59" s="1"/>
  <c r="F50" i="60" s="1"/>
  <c r="F50" i="61" s="1"/>
  <c r="F51" i="57"/>
  <c r="F51" i="58" s="1"/>
  <c r="F51" i="59" s="1"/>
  <c r="F51" i="60" s="1"/>
  <c r="F51" i="61" s="1"/>
  <c r="F52" i="57"/>
  <c r="F52" i="58" s="1"/>
  <c r="F52" i="59" s="1"/>
  <c r="F52" i="60" s="1"/>
  <c r="F52" i="61" s="1"/>
  <c r="F53" i="57"/>
  <c r="F53" i="58" s="1"/>
  <c r="F53" i="59" s="1"/>
  <c r="F53" i="60" s="1"/>
  <c r="F53" i="61" s="1"/>
  <c r="F54" i="57"/>
  <c r="F54" i="58" s="1"/>
  <c r="F54" i="59" s="1"/>
  <c r="F54" i="60" s="1"/>
  <c r="F54" i="61" s="1"/>
  <c r="F55" i="57"/>
  <c r="F55" i="58" s="1"/>
  <c r="F55" i="59" s="1"/>
  <c r="F55" i="60" s="1"/>
  <c r="F55" i="61" s="1"/>
  <c r="F56" i="57"/>
  <c r="F56" i="58" s="1"/>
  <c r="F56" i="59" s="1"/>
  <c r="F56" i="60" s="1"/>
  <c r="F56" i="61" s="1"/>
  <c r="F57" i="57"/>
  <c r="F57" i="58" s="1"/>
  <c r="F57" i="59" s="1"/>
  <c r="F57" i="60" s="1"/>
  <c r="F57" i="61" s="1"/>
  <c r="F58" i="57"/>
  <c r="F58" i="58" s="1"/>
  <c r="F58" i="59" s="1"/>
  <c r="F58" i="60" s="1"/>
  <c r="F58" i="61" s="1"/>
  <c r="F59" i="57"/>
  <c r="F59" i="58" s="1"/>
  <c r="F59" i="59" s="1"/>
  <c r="F59" i="60" s="1"/>
  <c r="F59" i="61" s="1"/>
  <c r="F60" i="57"/>
  <c r="F60" i="58" s="1"/>
  <c r="F60" i="59" s="1"/>
  <c r="F60" i="60" s="1"/>
  <c r="F60" i="61" s="1"/>
  <c r="F61" i="57"/>
  <c r="F61" i="58" s="1"/>
  <c r="F61" i="59" s="1"/>
  <c r="F61" i="60" s="1"/>
  <c r="F61" i="61" s="1"/>
  <c r="F62" i="57"/>
  <c r="F62" i="58" s="1"/>
  <c r="F62" i="59" s="1"/>
  <c r="F62" i="60" s="1"/>
  <c r="F62" i="61" s="1"/>
  <c r="F63" i="57"/>
  <c r="F63" i="58" s="1"/>
  <c r="F63" i="59" s="1"/>
  <c r="F63" i="60" s="1"/>
  <c r="F63" i="61" s="1"/>
  <c r="D38" i="57"/>
  <c r="D38" i="58" s="1"/>
  <c r="D38" i="59" s="1"/>
  <c r="D38" i="60" s="1"/>
  <c r="D38" i="61" s="1"/>
  <c r="D39" i="57"/>
  <c r="D39" i="58" s="1"/>
  <c r="D39" i="59" s="1"/>
  <c r="D39" i="60" s="1"/>
  <c r="D39" i="61" s="1"/>
  <c r="D40" i="57"/>
  <c r="D40" i="58" s="1"/>
  <c r="D40" i="59" s="1"/>
  <c r="D40" i="60" s="1"/>
  <c r="D40" i="61" s="1"/>
  <c r="D41" i="57"/>
  <c r="D41" i="58" s="1"/>
  <c r="D41" i="59" s="1"/>
  <c r="D41" i="60" s="1"/>
  <c r="D41" i="61" s="1"/>
  <c r="D42" i="57"/>
  <c r="D42" i="58" s="1"/>
  <c r="D42" i="59" s="1"/>
  <c r="D42" i="60" s="1"/>
  <c r="D42" i="61" s="1"/>
  <c r="D43" i="57"/>
  <c r="D43" i="58" s="1"/>
  <c r="D43" i="59" s="1"/>
  <c r="D43" i="60" s="1"/>
  <c r="D43" i="61" s="1"/>
  <c r="D44" i="57"/>
  <c r="D44" i="58" s="1"/>
  <c r="D44" i="59" s="1"/>
  <c r="D44" i="60" s="1"/>
  <c r="D44" i="61" s="1"/>
  <c r="D45" i="57"/>
  <c r="D45" i="58" s="1"/>
  <c r="D45" i="59" s="1"/>
  <c r="D45" i="60" s="1"/>
  <c r="D45" i="61" s="1"/>
  <c r="D46" i="57"/>
  <c r="D46" i="58" s="1"/>
  <c r="D46" i="59" s="1"/>
  <c r="D46" i="60" s="1"/>
  <c r="D46" i="61" s="1"/>
  <c r="D47" i="57"/>
  <c r="D47" i="58" s="1"/>
  <c r="D47" i="59" s="1"/>
  <c r="D47" i="60" s="1"/>
  <c r="D47" i="61" s="1"/>
  <c r="D48" i="57"/>
  <c r="D48" i="58" s="1"/>
  <c r="D48" i="59" s="1"/>
  <c r="D48" i="60" s="1"/>
  <c r="D48" i="61" s="1"/>
  <c r="D49" i="57"/>
  <c r="D49" i="58" s="1"/>
  <c r="D49" i="59" s="1"/>
  <c r="D49" i="60" s="1"/>
  <c r="D49" i="61" s="1"/>
  <c r="D50" i="57"/>
  <c r="D50" i="58" s="1"/>
  <c r="D50" i="59" s="1"/>
  <c r="D50" i="60" s="1"/>
  <c r="D50" i="61" s="1"/>
  <c r="D51" i="57"/>
  <c r="D51" i="58" s="1"/>
  <c r="D51" i="59" s="1"/>
  <c r="D51" i="60" s="1"/>
  <c r="D51" i="61" s="1"/>
  <c r="D52" i="57"/>
  <c r="D52" i="58" s="1"/>
  <c r="D52" i="59" s="1"/>
  <c r="D52" i="60" s="1"/>
  <c r="D52" i="61" s="1"/>
  <c r="D53" i="57"/>
  <c r="D53" i="58" s="1"/>
  <c r="D53" i="59" s="1"/>
  <c r="D53" i="60" s="1"/>
  <c r="D53" i="61" s="1"/>
  <c r="D54" i="57"/>
  <c r="D54" i="58" s="1"/>
  <c r="D54" i="59" s="1"/>
  <c r="D54" i="60" s="1"/>
  <c r="D54" i="61" s="1"/>
  <c r="D55" i="57"/>
  <c r="D55" i="58" s="1"/>
  <c r="D55" i="59" s="1"/>
  <c r="D55" i="60" s="1"/>
  <c r="D55" i="61" s="1"/>
  <c r="D56" i="57"/>
  <c r="D56" i="58" s="1"/>
  <c r="D56" i="59" s="1"/>
  <c r="D56" i="60" s="1"/>
  <c r="D56" i="61" s="1"/>
  <c r="D57" i="57"/>
  <c r="D57" i="58" s="1"/>
  <c r="D57" i="59" s="1"/>
  <c r="D57" i="60" s="1"/>
  <c r="D57" i="61" s="1"/>
  <c r="D58" i="57"/>
  <c r="D58" i="58" s="1"/>
  <c r="D58" i="59" s="1"/>
  <c r="D58" i="60" s="1"/>
  <c r="D58" i="61" s="1"/>
  <c r="D59" i="57"/>
  <c r="D59" i="58" s="1"/>
  <c r="D59" i="59" s="1"/>
  <c r="D59" i="60" s="1"/>
  <c r="D59" i="61" s="1"/>
  <c r="D60" i="57"/>
  <c r="D60" i="58" s="1"/>
  <c r="D60" i="59" s="1"/>
  <c r="D60" i="60" s="1"/>
  <c r="D60" i="61" s="1"/>
  <c r="D61" i="57"/>
  <c r="D61" i="58" s="1"/>
  <c r="D61" i="59" s="1"/>
  <c r="D61" i="60" s="1"/>
  <c r="D61" i="61" s="1"/>
  <c r="D62" i="57"/>
  <c r="D62" i="58" s="1"/>
  <c r="D62" i="59" s="1"/>
  <c r="D62" i="60" s="1"/>
  <c r="D62" i="61" s="1"/>
  <c r="D63" i="57"/>
  <c r="D63" i="58" s="1"/>
  <c r="D63" i="59" s="1"/>
  <c r="D63" i="60" s="1"/>
  <c r="D63" i="61" s="1"/>
  <c r="B38" i="57"/>
  <c r="B38" i="58" s="1"/>
  <c r="B38" i="59" s="1"/>
  <c r="B38" i="60" s="1"/>
  <c r="B38" i="61" s="1"/>
  <c r="B39" i="57"/>
  <c r="B39" i="58" s="1"/>
  <c r="B39" i="59" s="1"/>
  <c r="B39" i="60" s="1"/>
  <c r="B39" i="61" s="1"/>
  <c r="B40" i="57"/>
  <c r="B40" i="58" s="1"/>
  <c r="B40" i="59" s="1"/>
  <c r="B40" i="60" s="1"/>
  <c r="B40" i="61" s="1"/>
  <c r="B41" i="57"/>
  <c r="B41" i="58" s="1"/>
  <c r="B41" i="59" s="1"/>
  <c r="B41" i="60" s="1"/>
  <c r="B41" i="61" s="1"/>
  <c r="B42" i="57"/>
  <c r="B42" i="58" s="1"/>
  <c r="B42" i="59" s="1"/>
  <c r="B42" i="60" s="1"/>
  <c r="B42" i="61" s="1"/>
  <c r="B43" i="57"/>
  <c r="B43" i="58" s="1"/>
  <c r="B43" i="59" s="1"/>
  <c r="B43" i="60" s="1"/>
  <c r="B43" i="61" s="1"/>
  <c r="B44" i="57"/>
  <c r="B44" i="58" s="1"/>
  <c r="B44" i="59" s="1"/>
  <c r="B44" i="60" s="1"/>
  <c r="B44" i="61" s="1"/>
  <c r="B45" i="57"/>
  <c r="B45" i="58" s="1"/>
  <c r="B45" i="59" s="1"/>
  <c r="B45" i="60" s="1"/>
  <c r="B45" i="61" s="1"/>
  <c r="B46" i="57"/>
  <c r="B46" i="58" s="1"/>
  <c r="B46" i="59" s="1"/>
  <c r="B46" i="60" s="1"/>
  <c r="B46" i="61" s="1"/>
  <c r="B47" i="57"/>
  <c r="B47" i="58" s="1"/>
  <c r="B47" i="59" s="1"/>
  <c r="B47" i="60" s="1"/>
  <c r="B47" i="61" s="1"/>
  <c r="B48" i="57"/>
  <c r="B48" i="58" s="1"/>
  <c r="B48" i="59" s="1"/>
  <c r="B48" i="60" s="1"/>
  <c r="B48" i="61" s="1"/>
  <c r="B49" i="57"/>
  <c r="B49" i="58" s="1"/>
  <c r="B49" i="59" s="1"/>
  <c r="B49" i="60" s="1"/>
  <c r="B49" i="61" s="1"/>
  <c r="B50" i="57"/>
  <c r="B50" i="58" s="1"/>
  <c r="B50" i="59" s="1"/>
  <c r="B50" i="60" s="1"/>
  <c r="B50" i="61" s="1"/>
  <c r="B51" i="57"/>
  <c r="B51" i="58" s="1"/>
  <c r="B51" i="59" s="1"/>
  <c r="B51" i="60" s="1"/>
  <c r="B51" i="61" s="1"/>
  <c r="B52" i="57"/>
  <c r="B52" i="58" s="1"/>
  <c r="B52" i="59" s="1"/>
  <c r="B52" i="60" s="1"/>
  <c r="B52" i="61" s="1"/>
  <c r="B53" i="57"/>
  <c r="B53" i="58" s="1"/>
  <c r="B53" i="59" s="1"/>
  <c r="B53" i="60" s="1"/>
  <c r="B53" i="61" s="1"/>
  <c r="B54" i="57"/>
  <c r="B54" i="58" s="1"/>
  <c r="B54" i="59" s="1"/>
  <c r="B54" i="60" s="1"/>
  <c r="B54" i="61" s="1"/>
  <c r="B55" i="57"/>
  <c r="B55" i="58" s="1"/>
  <c r="B55" i="59" s="1"/>
  <c r="B55" i="60" s="1"/>
  <c r="B55" i="61" s="1"/>
  <c r="B56" i="57"/>
  <c r="B56" i="58" s="1"/>
  <c r="B56" i="59" s="1"/>
  <c r="B56" i="60" s="1"/>
  <c r="B56" i="61" s="1"/>
  <c r="B57" i="57"/>
  <c r="B57" i="58" s="1"/>
  <c r="B57" i="59" s="1"/>
  <c r="B57" i="60" s="1"/>
  <c r="B57" i="61" s="1"/>
  <c r="B58" i="57"/>
  <c r="B58" i="58" s="1"/>
  <c r="B58" i="59" s="1"/>
  <c r="B58" i="60" s="1"/>
  <c r="B58" i="61" s="1"/>
  <c r="B59" i="57"/>
  <c r="B59" i="58" s="1"/>
  <c r="B59" i="59" s="1"/>
  <c r="B59" i="60" s="1"/>
  <c r="B59" i="61" s="1"/>
  <c r="B60" i="57"/>
  <c r="B60" i="58" s="1"/>
  <c r="B60" i="59" s="1"/>
  <c r="B60" i="60" s="1"/>
  <c r="B60" i="61" s="1"/>
  <c r="B61" i="57"/>
  <c r="B61" i="58" s="1"/>
  <c r="B61" i="59" s="1"/>
  <c r="B61" i="60" s="1"/>
  <c r="B61" i="61" s="1"/>
  <c r="B62" i="57"/>
  <c r="B62" i="58" s="1"/>
  <c r="B62" i="59" s="1"/>
  <c r="B62" i="60" s="1"/>
  <c r="B62" i="61" s="1"/>
  <c r="B63" i="57"/>
  <c r="B63" i="58" s="1"/>
  <c r="B63" i="59" s="1"/>
  <c r="B63" i="60" s="1"/>
  <c r="B63" i="61" s="1"/>
  <c r="C99" i="57"/>
  <c r="C99" i="58" s="1"/>
  <c r="C99" i="59" s="1"/>
  <c r="C99" i="60" s="1"/>
  <c r="C99" i="61" s="1"/>
  <c r="C100" i="57"/>
  <c r="C100" i="58" s="1"/>
  <c r="C100" i="59" s="1"/>
  <c r="C100" i="60" s="1"/>
  <c r="C100" i="61" s="1"/>
  <c r="C101" i="57"/>
  <c r="C101" i="58" s="1"/>
  <c r="C101" i="59" s="1"/>
  <c r="C101" i="60" s="1"/>
  <c r="C101" i="61" s="1"/>
  <c r="C102" i="57"/>
  <c r="C102" i="58" s="1"/>
  <c r="C102" i="59" s="1"/>
  <c r="C102" i="60" s="1"/>
  <c r="C102" i="61" s="1"/>
  <c r="C103" i="57"/>
  <c r="C103" i="58" s="1"/>
  <c r="C103" i="59" s="1"/>
  <c r="C103" i="60" s="1"/>
  <c r="C103" i="61" s="1"/>
  <c r="C104" i="57"/>
  <c r="C104" i="58" s="1"/>
  <c r="C104" i="59" s="1"/>
  <c r="C104" i="60" s="1"/>
  <c r="C104" i="61" s="1"/>
  <c r="C105" i="57"/>
  <c r="C105" i="58" s="1"/>
  <c r="C105" i="59" s="1"/>
  <c r="C105" i="60" s="1"/>
  <c r="C105" i="61" s="1"/>
  <c r="C106" i="57"/>
  <c r="C106" i="58" s="1"/>
  <c r="C106" i="59" s="1"/>
  <c r="C106" i="60" s="1"/>
  <c r="C106" i="61" s="1"/>
  <c r="C107" i="57"/>
  <c r="C107" i="58" s="1"/>
  <c r="C107" i="59" s="1"/>
  <c r="C107" i="60" s="1"/>
  <c r="C107" i="61" s="1"/>
  <c r="C108" i="57"/>
  <c r="C108" i="58" s="1"/>
  <c r="C108" i="59" s="1"/>
  <c r="C108" i="60" s="1"/>
  <c r="C108" i="61" s="1"/>
  <c r="C109" i="57"/>
  <c r="C109" i="58" s="1"/>
  <c r="C109" i="59" s="1"/>
  <c r="C109" i="60" s="1"/>
  <c r="C109" i="61" s="1"/>
  <c r="C110" i="57"/>
  <c r="C110" i="58" s="1"/>
  <c r="C110" i="59" s="1"/>
  <c r="C110" i="60" s="1"/>
  <c r="C110" i="61" s="1"/>
  <c r="C111" i="57"/>
  <c r="C111" i="58" s="1"/>
  <c r="C111" i="59" s="1"/>
  <c r="C111" i="60" s="1"/>
  <c r="C111" i="61" s="1"/>
  <c r="C112" i="57"/>
  <c r="C112" i="58" s="1"/>
  <c r="C112" i="59" s="1"/>
  <c r="C112" i="60" s="1"/>
  <c r="C112" i="61" s="1"/>
  <c r="C113" i="57"/>
  <c r="C113" i="58" s="1"/>
  <c r="C113" i="59" s="1"/>
  <c r="C113" i="60" s="1"/>
  <c r="C113" i="61" s="1"/>
  <c r="C114" i="57"/>
  <c r="C114" i="58" s="1"/>
  <c r="C114" i="59" s="1"/>
  <c r="C114" i="60" s="1"/>
  <c r="C114" i="61" s="1"/>
  <c r="C115" i="57"/>
  <c r="C115" i="58" s="1"/>
  <c r="C115" i="59" s="1"/>
  <c r="C115" i="60" s="1"/>
  <c r="C115" i="61" s="1"/>
  <c r="C116" i="57"/>
  <c r="C116" i="58" s="1"/>
  <c r="C116" i="59" s="1"/>
  <c r="C116" i="60" s="1"/>
  <c r="C116" i="61" s="1"/>
  <c r="C117" i="57"/>
  <c r="C117" i="58" s="1"/>
  <c r="C117" i="59" s="1"/>
  <c r="C117" i="60" s="1"/>
  <c r="C117" i="61" s="1"/>
  <c r="C98" i="57"/>
  <c r="C98" i="58" s="1"/>
  <c r="C98" i="59" s="1"/>
  <c r="C98" i="60" s="1"/>
  <c r="C98" i="61" s="1"/>
  <c r="I37" i="30"/>
  <c r="I57" i="30" s="1"/>
  <c r="G41" i="46"/>
  <c r="G35" i="46"/>
  <c r="G29" i="46"/>
  <c r="G23" i="46"/>
  <c r="G17" i="46"/>
  <c r="G39" i="43"/>
  <c r="G33" i="43"/>
  <c r="G27" i="43"/>
  <c r="G21" i="43"/>
  <c r="G15" i="43"/>
  <c r="I7" i="46"/>
  <c r="H11" i="30"/>
  <c r="I28" i="30" s="1"/>
  <c r="I29" i="30"/>
  <c r="G11" i="30"/>
  <c r="K33" i="59" s="1"/>
  <c r="F15" i="30"/>
  <c r="F14" i="30"/>
  <c r="F13" i="30"/>
  <c r="F12" i="30"/>
  <c r="F11" i="30"/>
  <c r="E15" i="30"/>
  <c r="E14" i="30"/>
  <c r="E13" i="30"/>
  <c r="E12" i="30"/>
  <c r="E11" i="30"/>
  <c r="I26" i="30"/>
  <c r="I25" i="30"/>
  <c r="I24" i="30"/>
  <c r="I23" i="30"/>
  <c r="I27" i="30"/>
  <c r="I22" i="30"/>
  <c r="I21" i="30"/>
  <c r="I20" i="30"/>
  <c r="I19" i="30"/>
  <c r="I18" i="30"/>
  <c r="I17" i="30"/>
  <c r="I16" i="30"/>
  <c r="I15" i="30"/>
  <c r="I14" i="30"/>
  <c r="I13" i="30"/>
  <c r="I12" i="30"/>
  <c r="I11" i="30"/>
  <c r="J22" i="30"/>
  <c r="J21" i="30"/>
  <c r="J20" i="30"/>
  <c r="J19" i="30"/>
  <c r="J18" i="30"/>
  <c r="J17" i="30"/>
  <c r="J16" i="30"/>
  <c r="J15" i="30"/>
  <c r="J14" i="30"/>
  <c r="J13" i="30"/>
  <c r="J12" i="30"/>
  <c r="J11" i="30"/>
  <c r="K18" i="43"/>
  <c r="D20" i="43"/>
  <c r="K7" i="43"/>
  <c r="K35" i="43"/>
  <c r="K30" i="43"/>
  <c r="D15" i="43"/>
  <c r="K40" i="43"/>
  <c r="K24" i="43"/>
  <c r="D24" i="43"/>
  <c r="K22" i="43"/>
  <c r="I7" i="43"/>
  <c r="K29" i="43"/>
  <c r="D32" i="43"/>
  <c r="D40" i="43"/>
  <c r="K34" i="43"/>
  <c r="D19" i="43"/>
  <c r="K42" i="43"/>
  <c r="K28" i="43"/>
  <c r="D29" i="43"/>
  <c r="K36" i="43"/>
  <c r="K17" i="43"/>
  <c r="D30" i="43"/>
  <c r="D27" i="43"/>
  <c r="K23" i="43"/>
  <c r="K16" i="43"/>
  <c r="K41" i="43"/>
  <c r="D31" i="43"/>
  <c r="M57" i="30" l="1"/>
  <c r="K101" i="57"/>
  <c r="L101" i="57" s="1"/>
  <c r="O138" i="57"/>
  <c r="D37" i="57"/>
  <c r="D37" i="58" s="1"/>
  <c r="D37" i="59" s="1"/>
  <c r="D37" i="60" s="1"/>
  <c r="D37" i="61" s="1"/>
  <c r="B37" i="57"/>
  <c r="B37" i="58" s="1"/>
  <c r="B37" i="59" s="1"/>
  <c r="B37" i="60" s="1"/>
  <c r="B37" i="61" s="1"/>
  <c r="F37" i="57"/>
  <c r="F37" i="58" s="1"/>
  <c r="F37" i="59" s="1"/>
  <c r="F37" i="60" s="1"/>
  <c r="F37" i="61" s="1"/>
  <c r="K112" i="57"/>
  <c r="D29" i="46"/>
  <c r="D30" i="46"/>
  <c r="K112" i="59"/>
  <c r="D20" i="46"/>
  <c r="J118" i="61"/>
  <c r="L13" i="60"/>
  <c r="D27" i="46"/>
  <c r="K107" i="57"/>
  <c r="D32" i="46"/>
  <c r="D25" i="46"/>
  <c r="D42" i="46"/>
  <c r="K116" i="61"/>
  <c r="K100" i="59"/>
  <c r="D26" i="46"/>
  <c r="K109" i="61"/>
  <c r="D23" i="46"/>
  <c r="D38" i="46"/>
  <c r="D22" i="46"/>
  <c r="K112" i="58"/>
  <c r="L16" i="61"/>
  <c r="L22" i="61"/>
  <c r="K104" i="58"/>
  <c r="D21" i="46"/>
  <c r="K33" i="57"/>
  <c r="K102" i="59"/>
  <c r="K33" i="58"/>
  <c r="K107" i="58"/>
  <c r="K100" i="58"/>
  <c r="K101" i="59"/>
  <c r="L101" i="59" s="1"/>
  <c r="L20" i="58"/>
  <c r="L22" i="58"/>
  <c r="L18" i="59"/>
  <c r="L14" i="58"/>
  <c r="K33" i="60"/>
  <c r="K33" i="61"/>
  <c r="K102" i="61"/>
  <c r="K102" i="60"/>
  <c r="L102" i="60" s="1"/>
  <c r="K100" i="61"/>
  <c r="K100" i="57"/>
  <c r="K100" i="60"/>
  <c r="K101" i="60"/>
  <c r="L101" i="60" s="1"/>
  <c r="I33" i="30"/>
  <c r="E43" i="57"/>
  <c r="L13" i="58"/>
  <c r="L21" i="60"/>
  <c r="L21" i="57"/>
  <c r="L12" i="58"/>
  <c r="L21" i="58"/>
  <c r="L21" i="59"/>
  <c r="L16" i="60"/>
  <c r="L12" i="59"/>
  <c r="L16" i="59"/>
  <c r="L16" i="57"/>
  <c r="L12" i="57"/>
  <c r="L14" i="59"/>
  <c r="L14" i="57"/>
  <c r="L22" i="57"/>
  <c r="L14" i="60"/>
  <c r="L22" i="60"/>
  <c r="L12" i="60"/>
  <c r="L11" i="57"/>
  <c r="D24" i="46"/>
  <c r="L21" i="61"/>
  <c r="L17" i="57"/>
  <c r="L17" i="59"/>
  <c r="L17" i="61"/>
  <c r="L12" i="61"/>
  <c r="K102" i="58"/>
  <c r="K102" i="57"/>
  <c r="K101" i="58"/>
  <c r="K117" i="61"/>
  <c r="K117" i="59"/>
  <c r="K115" i="57"/>
  <c r="K117" i="57"/>
  <c r="K110" i="57"/>
  <c r="K114" i="57"/>
  <c r="K107" i="60"/>
  <c r="K117" i="60"/>
  <c r="K109" i="59"/>
  <c r="K109" i="60"/>
  <c r="K109" i="58"/>
  <c r="K109" i="57"/>
  <c r="K115" i="58"/>
  <c r="K117" i="58"/>
  <c r="K104" i="59"/>
  <c r="K104" i="57"/>
  <c r="K111" i="58"/>
  <c r="L15" i="61"/>
  <c r="L19" i="61"/>
  <c r="L15" i="60"/>
  <c r="L19" i="60"/>
  <c r="L15" i="59"/>
  <c r="L19" i="59"/>
  <c r="L15" i="58"/>
  <c r="L19" i="58"/>
  <c r="L15" i="57"/>
  <c r="K101" i="61"/>
  <c r="K106" i="57"/>
  <c r="K106" i="59"/>
  <c r="K106" i="58"/>
  <c r="K106" i="61"/>
  <c r="K106" i="60"/>
  <c r="K114" i="60"/>
  <c r="K114" i="61"/>
  <c r="K114" i="58"/>
  <c r="K114" i="59"/>
  <c r="K103" i="60"/>
  <c r="K103" i="57"/>
  <c r="K103" i="61"/>
  <c r="K103" i="58"/>
  <c r="K103" i="59"/>
  <c r="K111" i="59"/>
  <c r="K111" i="60"/>
  <c r="K111" i="57"/>
  <c r="K111" i="61"/>
  <c r="K108" i="61"/>
  <c r="K108" i="58"/>
  <c r="K108" i="59"/>
  <c r="K108" i="57"/>
  <c r="K108" i="60"/>
  <c r="K116" i="57"/>
  <c r="K116" i="60"/>
  <c r="K116" i="59"/>
  <c r="K116" i="58"/>
  <c r="K105" i="58"/>
  <c r="K105" i="59"/>
  <c r="J118" i="57"/>
  <c r="K105" i="61"/>
  <c r="K105" i="60"/>
  <c r="K105" i="57"/>
  <c r="K113" i="59"/>
  <c r="K113" i="57"/>
  <c r="K113" i="60"/>
  <c r="K113" i="61"/>
  <c r="K113" i="58"/>
  <c r="J118" i="58"/>
  <c r="K110" i="58"/>
  <c r="K110" i="59"/>
  <c r="K110" i="61"/>
  <c r="K110" i="60"/>
  <c r="J118" i="59"/>
  <c r="K107" i="59"/>
  <c r="K107" i="61"/>
  <c r="K115" i="59"/>
  <c r="K115" i="60"/>
  <c r="K115" i="61"/>
  <c r="K104" i="60"/>
  <c r="K104" i="61"/>
  <c r="J118" i="60"/>
  <c r="K112" i="61"/>
  <c r="K112" i="60"/>
  <c r="D16" i="43"/>
  <c r="E56" i="57" l="1"/>
  <c r="L107" i="60"/>
  <c r="L112" i="59"/>
  <c r="O96" i="61"/>
  <c r="L112" i="57"/>
  <c r="L107" i="57"/>
  <c r="L100" i="59"/>
  <c r="L116" i="61"/>
  <c r="D31" i="46"/>
  <c r="D33" i="46"/>
  <c r="D28" i="46"/>
  <c r="L109" i="61"/>
  <c r="L112" i="58"/>
  <c r="L100" i="57"/>
  <c r="L102" i="59"/>
  <c r="E63" i="57"/>
  <c r="L104" i="58"/>
  <c r="L100" i="58"/>
  <c r="L107" i="58"/>
  <c r="L102" i="61"/>
  <c r="L100" i="60"/>
  <c r="E39" i="57"/>
  <c r="L100" i="61"/>
  <c r="E43" i="58"/>
  <c r="K43" i="57"/>
  <c r="L114" i="57"/>
  <c r="E40" i="57"/>
  <c r="E61" i="57"/>
  <c r="L111" i="58"/>
  <c r="L115" i="58"/>
  <c r="L109" i="58"/>
  <c r="L115" i="57"/>
  <c r="L117" i="59"/>
  <c r="L109" i="60"/>
  <c r="L117" i="61"/>
  <c r="L104" i="59"/>
  <c r="L109" i="59"/>
  <c r="L110" i="57"/>
  <c r="L102" i="58"/>
  <c r="L109" i="57"/>
  <c r="L104" i="57"/>
  <c r="L117" i="60"/>
  <c r="L101" i="58"/>
  <c r="L117" i="58"/>
  <c r="L117" i="57"/>
  <c r="L102" i="57"/>
  <c r="L106" i="58"/>
  <c r="L112" i="61"/>
  <c r="L115" i="60"/>
  <c r="O96" i="59"/>
  <c r="L113" i="57"/>
  <c r="L105" i="59"/>
  <c r="L111" i="59"/>
  <c r="L103" i="57"/>
  <c r="L114" i="58"/>
  <c r="L106" i="61"/>
  <c r="O96" i="58"/>
  <c r="O96" i="60"/>
  <c r="L115" i="59"/>
  <c r="L108" i="60"/>
  <c r="L114" i="61"/>
  <c r="L106" i="59"/>
  <c r="L104" i="61"/>
  <c r="L110" i="60"/>
  <c r="L105" i="57"/>
  <c r="L116" i="58"/>
  <c r="L108" i="57"/>
  <c r="L103" i="59"/>
  <c r="L103" i="60"/>
  <c r="L101" i="61"/>
  <c r="L104" i="60"/>
  <c r="L107" i="61"/>
  <c r="L110" i="61"/>
  <c r="L113" i="58"/>
  <c r="L105" i="60"/>
  <c r="L116" i="59"/>
  <c r="L111" i="61"/>
  <c r="L114" i="60"/>
  <c r="L116" i="60"/>
  <c r="L108" i="59"/>
  <c r="L106" i="57"/>
  <c r="L105" i="58"/>
  <c r="L112" i="60"/>
  <c r="L107" i="59"/>
  <c r="L110" i="59"/>
  <c r="L113" i="61"/>
  <c r="L105" i="61"/>
  <c r="L108" i="58"/>
  <c r="L111" i="57"/>
  <c r="L103" i="58"/>
  <c r="L114" i="59"/>
  <c r="L113" i="59"/>
  <c r="L115" i="61"/>
  <c r="L110" i="58"/>
  <c r="L113" i="60"/>
  <c r="O96" i="57"/>
  <c r="L116" i="57"/>
  <c r="L108" i="61"/>
  <c r="L111" i="60"/>
  <c r="L103" i="61"/>
  <c r="L106" i="60"/>
  <c r="D73" i="46" l="1"/>
  <c r="E37" i="57"/>
  <c r="K37" i="57" s="1"/>
  <c r="K55" i="46"/>
  <c r="K56" i="46"/>
  <c r="E50" i="57"/>
  <c r="E46" i="57"/>
  <c r="K46" i="57" s="1"/>
  <c r="D61" i="46"/>
  <c r="D50" i="46"/>
  <c r="K30" i="46"/>
  <c r="D55" i="46"/>
  <c r="K37" i="46"/>
  <c r="D74" i="46"/>
  <c r="D62" i="46"/>
  <c r="K79" i="46"/>
  <c r="K86" i="46"/>
  <c r="K85" i="46"/>
  <c r="D79" i="46"/>
  <c r="E43" i="59"/>
  <c r="K43" i="58"/>
  <c r="K80" i="46"/>
  <c r="K49" i="46"/>
  <c r="K62" i="46"/>
  <c r="E51" i="57"/>
  <c r="K56" i="57"/>
  <c r="E56" i="58"/>
  <c r="E61" i="58"/>
  <c r="K61" i="57"/>
  <c r="K63" i="57"/>
  <c r="E63" i="58"/>
  <c r="K61" i="46"/>
  <c r="K36" i="46"/>
  <c r="E52" i="57"/>
  <c r="D85" i="46"/>
  <c r="E45" i="57"/>
  <c r="D91" i="46"/>
  <c r="K73" i="46"/>
  <c r="E40" i="58"/>
  <c r="K40" i="57"/>
  <c r="D80" i="46"/>
  <c r="K67" i="46"/>
  <c r="D92" i="46"/>
  <c r="D86" i="46"/>
  <c r="E38" i="57"/>
  <c r="E57" i="57"/>
  <c r="K50" i="46"/>
  <c r="K68" i="46"/>
  <c r="K42" i="46"/>
  <c r="K39" i="57"/>
  <c r="E39" i="58"/>
  <c r="K74" i="46"/>
  <c r="D56" i="46"/>
  <c r="K31" i="46"/>
  <c r="D68" i="46"/>
  <c r="E44" i="57"/>
  <c r="D67" i="46"/>
  <c r="D49" i="46"/>
  <c r="E48" i="57"/>
  <c r="K43" i="46"/>
  <c r="E41" i="57" l="1"/>
  <c r="E37" i="58"/>
  <c r="K37" i="58" s="1"/>
  <c r="E46" i="58"/>
  <c r="E46" i="59" s="1"/>
  <c r="E50" i="58"/>
  <c r="K50" i="57"/>
  <c r="E62" i="57"/>
  <c r="K62" i="57" s="1"/>
  <c r="G40" i="57"/>
  <c r="M40" i="57" s="1"/>
  <c r="L40" i="57" s="1"/>
  <c r="G56" i="57"/>
  <c r="M56" i="57" s="1"/>
  <c r="G63" i="57"/>
  <c r="M63" i="57" s="1"/>
  <c r="N63" i="57" s="1"/>
  <c r="O63" i="57" s="1"/>
  <c r="G46" i="57"/>
  <c r="M46" i="57" s="1"/>
  <c r="E55" i="57"/>
  <c r="E58" i="57"/>
  <c r="K43" i="59"/>
  <c r="E43" i="60"/>
  <c r="E47" i="57"/>
  <c r="K61" i="58"/>
  <c r="E61" i="59"/>
  <c r="E60" i="57"/>
  <c r="E53" i="57"/>
  <c r="E56" i="59"/>
  <c r="K56" i="58"/>
  <c r="E51" i="58"/>
  <c r="K51" i="57"/>
  <c r="K40" i="58"/>
  <c r="E40" i="59"/>
  <c r="E52" i="58"/>
  <c r="K52" i="57"/>
  <c r="E63" i="59"/>
  <c r="K63" i="58"/>
  <c r="K45" i="57"/>
  <c r="G45" i="57"/>
  <c r="M45" i="57" s="1"/>
  <c r="E45" i="58"/>
  <c r="E59" i="57"/>
  <c r="E49" i="57"/>
  <c r="E38" i="58"/>
  <c r="G38" i="57"/>
  <c r="M38" i="57" s="1"/>
  <c r="K38" i="57"/>
  <c r="E54" i="57"/>
  <c r="E42" i="57"/>
  <c r="E57" i="58"/>
  <c r="K57" i="57"/>
  <c r="K39" i="58"/>
  <c r="E39" i="59"/>
  <c r="E44" i="58"/>
  <c r="K44" i="57"/>
  <c r="G44" i="57"/>
  <c r="M44" i="57" s="1"/>
  <c r="E48" i="58"/>
  <c r="K48" i="57"/>
  <c r="G57" i="57"/>
  <c r="K57" i="30" l="1"/>
  <c r="G41" i="57"/>
  <c r="G37" i="57"/>
  <c r="M37" i="57" s="1"/>
  <c r="L37" i="57" s="1"/>
  <c r="G52" i="57"/>
  <c r="M52" i="57" s="1"/>
  <c r="L52" i="57" s="1"/>
  <c r="K41" i="57"/>
  <c r="E41" i="58"/>
  <c r="G41" i="58" s="1"/>
  <c r="G51" i="57"/>
  <c r="M51" i="57" s="1"/>
  <c r="N51" i="57" s="1"/>
  <c r="O51" i="57" s="1"/>
  <c r="E37" i="59"/>
  <c r="E37" i="60" s="1"/>
  <c r="K99" i="57"/>
  <c r="K46" i="58"/>
  <c r="G50" i="57"/>
  <c r="M50" i="57" s="1"/>
  <c r="G48" i="57"/>
  <c r="M48" i="57" s="1"/>
  <c r="L48" i="57" s="1"/>
  <c r="E62" i="58"/>
  <c r="K62" i="58" s="1"/>
  <c r="G46" i="58"/>
  <c r="G46" i="59" s="1"/>
  <c r="K50" i="58"/>
  <c r="E50" i="59"/>
  <c r="G56" i="58"/>
  <c r="M56" i="58" s="1"/>
  <c r="G62" i="57"/>
  <c r="G63" i="58"/>
  <c r="M63" i="58" s="1"/>
  <c r="N63" i="58" s="1"/>
  <c r="O63" i="58" s="1"/>
  <c r="G55" i="57"/>
  <c r="M55" i="57" s="1"/>
  <c r="L63" i="57"/>
  <c r="G39" i="57"/>
  <c r="N40" i="57"/>
  <c r="O40" i="57" s="1"/>
  <c r="E46" i="60"/>
  <c r="K46" i="59"/>
  <c r="K98" i="57"/>
  <c r="E55" i="58"/>
  <c r="K55" i="57"/>
  <c r="G40" i="58"/>
  <c r="M40" i="58" s="1"/>
  <c r="L40" i="58" s="1"/>
  <c r="K43" i="60"/>
  <c r="E43" i="61"/>
  <c r="K43" i="61" s="1"/>
  <c r="K58" i="57"/>
  <c r="E58" i="58"/>
  <c r="G58" i="57"/>
  <c r="M58" i="57" s="1"/>
  <c r="G43" i="57"/>
  <c r="G61" i="57"/>
  <c r="K60" i="57"/>
  <c r="E60" i="58"/>
  <c r="G60" i="57"/>
  <c r="M60" i="57" s="1"/>
  <c r="K56" i="59"/>
  <c r="E56" i="60"/>
  <c r="K51" i="58"/>
  <c r="E51" i="59"/>
  <c r="K61" i="59"/>
  <c r="E61" i="60"/>
  <c r="G53" i="57"/>
  <c r="M53" i="57" s="1"/>
  <c r="E53" i="58"/>
  <c r="K53" i="57"/>
  <c r="G47" i="57"/>
  <c r="M47" i="57" s="1"/>
  <c r="E47" i="58"/>
  <c r="K47" i="57"/>
  <c r="E45" i="59"/>
  <c r="G45" i="58"/>
  <c r="M45" i="58" s="1"/>
  <c r="K45" i="58"/>
  <c r="L45" i="57"/>
  <c r="N45" i="57"/>
  <c r="O45" i="57" s="1"/>
  <c r="K63" i="59"/>
  <c r="E63" i="60"/>
  <c r="N46" i="57"/>
  <c r="O46" i="57" s="1"/>
  <c r="L46" i="57"/>
  <c r="K52" i="58"/>
  <c r="E52" i="59"/>
  <c r="E40" i="60"/>
  <c r="K40" i="59"/>
  <c r="G37" i="58"/>
  <c r="M37" i="58" s="1"/>
  <c r="N37" i="58" s="1"/>
  <c r="O37" i="58" s="1"/>
  <c r="E49" i="58"/>
  <c r="G49" i="57"/>
  <c r="M49" i="57" s="1"/>
  <c r="K49" i="57"/>
  <c r="K59" i="57"/>
  <c r="E59" i="58"/>
  <c r="G59" i="57"/>
  <c r="M59" i="57" s="1"/>
  <c r="L56" i="57"/>
  <c r="N56" i="57"/>
  <c r="O56" i="57" s="1"/>
  <c r="K54" i="57"/>
  <c r="E54" i="58"/>
  <c r="G54" i="57"/>
  <c r="M54" i="57" s="1"/>
  <c r="K57" i="58"/>
  <c r="E57" i="59"/>
  <c r="E39" i="60"/>
  <c r="K39" i="59"/>
  <c r="L38" i="57"/>
  <c r="N38" i="57"/>
  <c r="O38" i="57" s="1"/>
  <c r="K42" i="57"/>
  <c r="E42" i="58"/>
  <c r="G42" i="57"/>
  <c r="M42" i="57" s="1"/>
  <c r="E38" i="59"/>
  <c r="K38" i="58"/>
  <c r="G38" i="58"/>
  <c r="M38" i="58" s="1"/>
  <c r="L44" i="57"/>
  <c r="N44" i="57"/>
  <c r="O44" i="57" s="1"/>
  <c r="M41" i="57"/>
  <c r="E44" i="59"/>
  <c r="G44" i="58"/>
  <c r="M44" i="58" s="1"/>
  <c r="K44" i="58"/>
  <c r="G57" i="58"/>
  <c r="M57" i="57"/>
  <c r="K48" i="58"/>
  <c r="E48" i="59"/>
  <c r="N37" i="57" l="1"/>
  <c r="O37" i="57" s="1"/>
  <c r="M35" i="30"/>
  <c r="M82" i="30" s="1"/>
  <c r="N52" i="57"/>
  <c r="O52" i="57" s="1"/>
  <c r="G62" i="58"/>
  <c r="G52" i="58"/>
  <c r="M52" i="58" s="1"/>
  <c r="L52" i="58" s="1"/>
  <c r="L51" i="57"/>
  <c r="K37" i="59"/>
  <c r="M62" i="57"/>
  <c r="L62" i="57" s="1"/>
  <c r="K41" i="58"/>
  <c r="E41" i="59"/>
  <c r="G41" i="59" s="1"/>
  <c r="G48" i="58"/>
  <c r="M48" i="58" s="1"/>
  <c r="N48" i="58" s="1"/>
  <c r="O48" i="58" s="1"/>
  <c r="G51" i="58"/>
  <c r="M51" i="58" s="1"/>
  <c r="N51" i="58" s="1"/>
  <c r="O51" i="58" s="1"/>
  <c r="L99" i="57"/>
  <c r="K99" i="59"/>
  <c r="K99" i="58"/>
  <c r="K25" i="46"/>
  <c r="K24" i="46"/>
  <c r="M46" i="58"/>
  <c r="L46" i="58" s="1"/>
  <c r="N48" i="57"/>
  <c r="O48" i="57" s="1"/>
  <c r="G56" i="59"/>
  <c r="M56" i="59" s="1"/>
  <c r="G50" i="58"/>
  <c r="G50" i="59" s="1"/>
  <c r="E62" i="59"/>
  <c r="G62" i="59" s="1"/>
  <c r="N40" i="58"/>
  <c r="O40" i="58" s="1"/>
  <c r="E50" i="60"/>
  <c r="K50" i="59"/>
  <c r="G63" i="59"/>
  <c r="M63" i="59" s="1"/>
  <c r="L63" i="59" s="1"/>
  <c r="L63" i="58"/>
  <c r="G55" i="58"/>
  <c r="M55" i="58" s="1"/>
  <c r="M39" i="57"/>
  <c r="G39" i="58"/>
  <c r="K46" i="60"/>
  <c r="E46" i="61"/>
  <c r="K46" i="61" s="1"/>
  <c r="L98" i="57"/>
  <c r="K118" i="57"/>
  <c r="K18" i="46"/>
  <c r="K98" i="58"/>
  <c r="G40" i="59"/>
  <c r="M40" i="59" s="1"/>
  <c r="N40" i="59" s="1"/>
  <c r="O40" i="59" s="1"/>
  <c r="K55" i="58"/>
  <c r="E55" i="59"/>
  <c r="M62" i="58"/>
  <c r="G58" i="58"/>
  <c r="M58" i="58" s="1"/>
  <c r="E58" i="59"/>
  <c r="K58" i="58"/>
  <c r="M43" i="57"/>
  <c r="G43" i="58"/>
  <c r="N58" i="57"/>
  <c r="O58" i="57" s="1"/>
  <c r="L58" i="57"/>
  <c r="M61" i="57"/>
  <c r="G61" i="58"/>
  <c r="L50" i="57"/>
  <c r="N50" i="57"/>
  <c r="O50" i="57" s="1"/>
  <c r="K56" i="60"/>
  <c r="E56" i="61"/>
  <c r="K56" i="61" s="1"/>
  <c r="E61" i="61"/>
  <c r="K61" i="61" s="1"/>
  <c r="K61" i="60"/>
  <c r="K47" i="58"/>
  <c r="G47" i="58"/>
  <c r="M47" i="58" s="1"/>
  <c r="E47" i="59"/>
  <c r="L60" i="57"/>
  <c r="N60" i="57"/>
  <c r="O60" i="57" s="1"/>
  <c r="N47" i="57"/>
  <c r="O47" i="57" s="1"/>
  <c r="L47" i="57"/>
  <c r="G53" i="58"/>
  <c r="M53" i="58" s="1"/>
  <c r="E53" i="59"/>
  <c r="K53" i="58"/>
  <c r="E51" i="60"/>
  <c r="K51" i="59"/>
  <c r="K60" i="58"/>
  <c r="E60" i="59"/>
  <c r="G60" i="58"/>
  <c r="M60" i="58" s="1"/>
  <c r="L53" i="57"/>
  <c r="N53" i="57"/>
  <c r="O53" i="57" s="1"/>
  <c r="K40" i="60"/>
  <c r="E40" i="61"/>
  <c r="K40" i="61" s="1"/>
  <c r="E63" i="61"/>
  <c r="K63" i="60"/>
  <c r="K52" i="59"/>
  <c r="E52" i="60"/>
  <c r="M46" i="59"/>
  <c r="G46" i="60"/>
  <c r="L45" i="58"/>
  <c r="N45" i="58"/>
  <c r="O45" i="58" s="1"/>
  <c r="G45" i="59"/>
  <c r="M45" i="59" s="1"/>
  <c r="E45" i="60"/>
  <c r="K45" i="59"/>
  <c r="G37" i="59"/>
  <c r="M37" i="59" s="1"/>
  <c r="N37" i="59" s="1"/>
  <c r="O37" i="59" s="1"/>
  <c r="L37" i="58"/>
  <c r="L38" i="58"/>
  <c r="N38" i="58"/>
  <c r="O38" i="58" s="1"/>
  <c r="E54" i="59"/>
  <c r="K54" i="58"/>
  <c r="G54" i="58"/>
  <c r="M54" i="58" s="1"/>
  <c r="L49" i="57"/>
  <c r="N49" i="57"/>
  <c r="O49" i="57" s="1"/>
  <c r="G49" i="58"/>
  <c r="M49" i="58" s="1"/>
  <c r="K49" i="58"/>
  <c r="E49" i="59"/>
  <c r="K38" i="59"/>
  <c r="E38" i="60"/>
  <c r="G38" i="59"/>
  <c r="M38" i="59" s="1"/>
  <c r="E37" i="61"/>
  <c r="K37" i="60"/>
  <c r="L59" i="57"/>
  <c r="N59" i="57"/>
  <c r="O59" i="57" s="1"/>
  <c r="E59" i="59"/>
  <c r="K59" i="58"/>
  <c r="G59" i="58"/>
  <c r="M59" i="58" s="1"/>
  <c r="E39" i="61"/>
  <c r="K39" i="60"/>
  <c r="L56" i="58"/>
  <c r="N56" i="58"/>
  <c r="O56" i="58" s="1"/>
  <c r="L42" i="57"/>
  <c r="N42" i="57"/>
  <c r="O42" i="57" s="1"/>
  <c r="E42" i="59"/>
  <c r="K42" i="58"/>
  <c r="G42" i="58"/>
  <c r="M42" i="58" s="1"/>
  <c r="E57" i="60"/>
  <c r="K57" i="59"/>
  <c r="L54" i="57"/>
  <c r="N54" i="57"/>
  <c r="O54" i="57" s="1"/>
  <c r="K48" i="59"/>
  <c r="E48" i="60"/>
  <c r="M41" i="58"/>
  <c r="L41" i="57"/>
  <c r="N41" i="57"/>
  <c r="O41" i="57" s="1"/>
  <c r="L44" i="58"/>
  <c r="N44" i="58"/>
  <c r="O44" i="58" s="1"/>
  <c r="G44" i="59"/>
  <c r="M44" i="59" s="1"/>
  <c r="K44" i="59"/>
  <c r="E44" i="60"/>
  <c r="L57" i="57"/>
  <c r="N57" i="57"/>
  <c r="O57" i="57" s="1"/>
  <c r="M57" i="58"/>
  <c r="G57" i="59"/>
  <c r="L55" i="57"/>
  <c r="N55" i="57"/>
  <c r="O55" i="57" s="1"/>
  <c r="N62" i="57" l="1"/>
  <c r="O62" i="57" s="1"/>
  <c r="N52" i="58"/>
  <c r="O52" i="58" s="1"/>
  <c r="G52" i="59"/>
  <c r="M52" i="59" s="1"/>
  <c r="N52" i="59" s="1"/>
  <c r="O52" i="59" s="1"/>
  <c r="L51" i="58"/>
  <c r="G51" i="59"/>
  <c r="M51" i="59" s="1"/>
  <c r="L51" i="59" s="1"/>
  <c r="L48" i="58"/>
  <c r="G48" i="59"/>
  <c r="M48" i="59" s="1"/>
  <c r="N48" i="59" s="1"/>
  <c r="O48" i="59" s="1"/>
  <c r="K41" i="59"/>
  <c r="E41" i="60"/>
  <c r="G41" i="60" s="1"/>
  <c r="G56" i="60"/>
  <c r="M56" i="60" s="1"/>
  <c r="M50" i="58"/>
  <c r="L50" i="58" s="1"/>
  <c r="N46" i="58"/>
  <c r="O46" i="58" s="1"/>
  <c r="L99" i="58"/>
  <c r="K99" i="60"/>
  <c r="L99" i="59"/>
  <c r="E62" i="60"/>
  <c r="K62" i="60" s="1"/>
  <c r="N63" i="59"/>
  <c r="O63" i="59" s="1"/>
  <c r="K62" i="59"/>
  <c r="G63" i="60"/>
  <c r="M63" i="60" s="1"/>
  <c r="N63" i="60" s="1"/>
  <c r="O63" i="60" s="1"/>
  <c r="E50" i="61"/>
  <c r="K50" i="61" s="1"/>
  <c r="K50" i="60"/>
  <c r="G55" i="59"/>
  <c r="M55" i="59" s="1"/>
  <c r="M35" i="57"/>
  <c r="L40" i="59"/>
  <c r="M39" i="58"/>
  <c r="G39" i="59"/>
  <c r="N39" i="57"/>
  <c r="O39" i="57" s="1"/>
  <c r="L39" i="57"/>
  <c r="K118" i="58"/>
  <c r="L98" i="58"/>
  <c r="K98" i="59"/>
  <c r="K98" i="60" s="1"/>
  <c r="L118" i="57"/>
  <c r="K19" i="46"/>
  <c r="G40" i="60"/>
  <c r="M40" i="60" s="1"/>
  <c r="N40" i="60" s="1"/>
  <c r="O40" i="60" s="1"/>
  <c r="K55" i="59"/>
  <c r="E55" i="60"/>
  <c r="L43" i="57"/>
  <c r="N43" i="57"/>
  <c r="O43" i="57" s="1"/>
  <c r="G58" i="59"/>
  <c r="M58" i="59" s="1"/>
  <c r="K58" i="59"/>
  <c r="E58" i="60"/>
  <c r="L58" i="58"/>
  <c r="N58" i="58"/>
  <c r="O58" i="58" s="1"/>
  <c r="N62" i="58"/>
  <c r="O62" i="58" s="1"/>
  <c r="L62" i="58"/>
  <c r="G43" i="59"/>
  <c r="M43" i="58"/>
  <c r="M62" i="59"/>
  <c r="M61" i="58"/>
  <c r="G61" i="59"/>
  <c r="L61" i="57"/>
  <c r="N61" i="57"/>
  <c r="O61" i="57" s="1"/>
  <c r="K47" i="59"/>
  <c r="G47" i="59"/>
  <c r="M47" i="59" s="1"/>
  <c r="E47" i="60"/>
  <c r="L47" i="58"/>
  <c r="N47" i="58"/>
  <c r="O47" i="58" s="1"/>
  <c r="K53" i="59"/>
  <c r="E53" i="60"/>
  <c r="G53" i="59"/>
  <c r="M53" i="59" s="1"/>
  <c r="L60" i="58"/>
  <c r="N60" i="58"/>
  <c r="O60" i="58" s="1"/>
  <c r="N53" i="58"/>
  <c r="O53" i="58" s="1"/>
  <c r="L53" i="58"/>
  <c r="G60" i="59"/>
  <c r="M60" i="59" s="1"/>
  <c r="K60" i="59"/>
  <c r="E60" i="60"/>
  <c r="K51" i="60"/>
  <c r="E51" i="61"/>
  <c r="M50" i="59"/>
  <c r="G50" i="60"/>
  <c r="N45" i="59"/>
  <c r="O45" i="59" s="1"/>
  <c r="L45" i="59"/>
  <c r="K63" i="61"/>
  <c r="E52" i="61"/>
  <c r="K52" i="60"/>
  <c r="M46" i="60"/>
  <c r="G46" i="61"/>
  <c r="M46" i="61" s="1"/>
  <c r="K45" i="60"/>
  <c r="E45" i="61"/>
  <c r="G45" i="60"/>
  <c r="M45" i="60" s="1"/>
  <c r="L46" i="59"/>
  <c r="N46" i="59"/>
  <c r="O46" i="59" s="1"/>
  <c r="L37" i="59"/>
  <c r="G37" i="60"/>
  <c r="M37" i="60" s="1"/>
  <c r="L37" i="60" s="1"/>
  <c r="G42" i="59"/>
  <c r="M42" i="59" s="1"/>
  <c r="K42" i="59"/>
  <c r="E42" i="60"/>
  <c r="E49" i="60"/>
  <c r="G49" i="59"/>
  <c r="M49" i="59" s="1"/>
  <c r="K49" i="59"/>
  <c r="E59" i="60"/>
  <c r="K59" i="59"/>
  <c r="G59" i="59"/>
  <c r="M59" i="59" s="1"/>
  <c r="N56" i="59"/>
  <c r="O56" i="59" s="1"/>
  <c r="L56" i="59"/>
  <c r="L49" i="58"/>
  <c r="N49" i="58"/>
  <c r="O49" i="58" s="1"/>
  <c r="L38" i="59"/>
  <c r="N38" i="59"/>
  <c r="O38" i="59" s="1"/>
  <c r="L54" i="58"/>
  <c r="N54" i="58"/>
  <c r="O54" i="58" s="1"/>
  <c r="E57" i="61"/>
  <c r="K57" i="61" s="1"/>
  <c r="K57" i="60"/>
  <c r="K39" i="61"/>
  <c r="E38" i="61"/>
  <c r="K38" i="60"/>
  <c r="G38" i="60"/>
  <c r="M38" i="60" s="1"/>
  <c r="N42" i="58"/>
  <c r="O42" i="58" s="1"/>
  <c r="L42" i="58"/>
  <c r="K37" i="61"/>
  <c r="E54" i="60"/>
  <c r="K54" i="59"/>
  <c r="G54" i="59"/>
  <c r="M54" i="59" s="1"/>
  <c r="L59" i="58"/>
  <c r="N59" i="58"/>
  <c r="O59" i="58" s="1"/>
  <c r="K44" i="60"/>
  <c r="G44" i="60"/>
  <c r="M44" i="60" s="1"/>
  <c r="E44" i="61"/>
  <c r="N55" i="58"/>
  <c r="O55" i="58" s="1"/>
  <c r="L55" i="58"/>
  <c r="E48" i="61"/>
  <c r="K48" i="60"/>
  <c r="N44" i="59"/>
  <c r="O44" i="59" s="1"/>
  <c r="L44" i="59"/>
  <c r="M57" i="59"/>
  <c r="G57" i="60"/>
  <c r="M41" i="59"/>
  <c r="L57" i="58"/>
  <c r="N57" i="58"/>
  <c r="O57" i="58" s="1"/>
  <c r="L41" i="58"/>
  <c r="N41" i="58"/>
  <c r="G52" i="60" l="1"/>
  <c r="M52" i="60" s="1"/>
  <c r="L52" i="59"/>
  <c r="L5" i="57"/>
  <c r="G120" i="57" s="1"/>
  <c r="L48" i="59"/>
  <c r="G48" i="60"/>
  <c r="M48" i="60" s="1"/>
  <c r="N48" i="60" s="1"/>
  <c r="O48" i="60" s="1"/>
  <c r="G51" i="60"/>
  <c r="M51" i="60" s="1"/>
  <c r="N51" i="60" s="1"/>
  <c r="O51" i="60" s="1"/>
  <c r="N51" i="59"/>
  <c r="O51" i="59" s="1"/>
  <c r="K41" i="60"/>
  <c r="E41" i="61"/>
  <c r="K41" i="61" s="1"/>
  <c r="G56" i="61"/>
  <c r="M56" i="61" s="1"/>
  <c r="N56" i="61" s="1"/>
  <c r="O56" i="61" s="1"/>
  <c r="N50" i="58"/>
  <c r="O50" i="58" s="1"/>
  <c r="L99" i="60"/>
  <c r="K99" i="61"/>
  <c r="G63" i="61"/>
  <c r="M63" i="61" s="1"/>
  <c r="L63" i="61" s="1"/>
  <c r="E62" i="61"/>
  <c r="K62" i="61" s="1"/>
  <c r="G62" i="60"/>
  <c r="M62" i="60" s="1"/>
  <c r="L63" i="60"/>
  <c r="G55" i="60"/>
  <c r="M55" i="60" s="1"/>
  <c r="L40" i="60"/>
  <c r="G40" i="61"/>
  <c r="M40" i="61" s="1"/>
  <c r="M35" i="58"/>
  <c r="M39" i="59"/>
  <c r="G39" i="60"/>
  <c r="L39" i="58"/>
  <c r="N39" i="58"/>
  <c r="O39" i="58" s="1"/>
  <c r="K118" i="60"/>
  <c r="L98" i="60"/>
  <c r="L98" i="59"/>
  <c r="K118" i="59"/>
  <c r="K98" i="61"/>
  <c r="L118" i="58"/>
  <c r="O35" i="57"/>
  <c r="N35" i="57"/>
  <c r="E55" i="61"/>
  <c r="K55" i="61" s="1"/>
  <c r="K55" i="60"/>
  <c r="K58" i="60"/>
  <c r="E58" i="61"/>
  <c r="G58" i="60"/>
  <c r="M58" i="60" s="1"/>
  <c r="L62" i="59"/>
  <c r="N62" i="59"/>
  <c r="O62" i="59" s="1"/>
  <c r="L43" i="58"/>
  <c r="N43" i="58"/>
  <c r="O43" i="58" s="1"/>
  <c r="N58" i="59"/>
  <c r="O58" i="59" s="1"/>
  <c r="L58" i="59"/>
  <c r="M43" i="59"/>
  <c r="G43" i="60"/>
  <c r="M61" i="59"/>
  <c r="G61" i="60"/>
  <c r="L61" i="58"/>
  <c r="N61" i="58"/>
  <c r="O61" i="58" s="1"/>
  <c r="N60" i="59"/>
  <c r="O60" i="59" s="1"/>
  <c r="L60" i="59"/>
  <c r="M50" i="60"/>
  <c r="G50" i="61"/>
  <c r="M50" i="61" s="1"/>
  <c r="L50" i="59"/>
  <c r="N50" i="59"/>
  <c r="O50" i="59" s="1"/>
  <c r="E47" i="61"/>
  <c r="K47" i="60"/>
  <c r="G47" i="60"/>
  <c r="M47" i="60" s="1"/>
  <c r="L47" i="59"/>
  <c r="N47" i="59"/>
  <c r="O47" i="59" s="1"/>
  <c r="K51" i="61"/>
  <c r="L53" i="59"/>
  <c r="N53" i="59"/>
  <c r="O53" i="59" s="1"/>
  <c r="K60" i="60"/>
  <c r="E60" i="61"/>
  <c r="G60" i="60"/>
  <c r="M60" i="60" s="1"/>
  <c r="K53" i="60"/>
  <c r="G53" i="60"/>
  <c r="M53" i="60" s="1"/>
  <c r="E53" i="61"/>
  <c r="L46" i="61"/>
  <c r="N46" i="61"/>
  <c r="O46" i="61" s="1"/>
  <c r="N46" i="60"/>
  <c r="O46" i="60" s="1"/>
  <c r="L46" i="60"/>
  <c r="K52" i="61"/>
  <c r="G52" i="61"/>
  <c r="M52" i="61" s="1"/>
  <c r="L52" i="60"/>
  <c r="N52" i="60"/>
  <c r="O52" i="60" s="1"/>
  <c r="L45" i="60"/>
  <c r="N45" i="60"/>
  <c r="O45" i="60" s="1"/>
  <c r="K45" i="61"/>
  <c r="G45" i="61"/>
  <c r="M45" i="61" s="1"/>
  <c r="N37" i="60"/>
  <c r="O37" i="60" s="1"/>
  <c r="G37" i="61"/>
  <c r="M37" i="61" s="1"/>
  <c r="L37" i="61" s="1"/>
  <c r="K54" i="60"/>
  <c r="E54" i="61"/>
  <c r="G54" i="60"/>
  <c r="M54" i="60" s="1"/>
  <c r="L38" i="60"/>
  <c r="N38" i="60"/>
  <c r="O38" i="60" s="1"/>
  <c r="L59" i="59"/>
  <c r="N59" i="59"/>
  <c r="O59" i="59" s="1"/>
  <c r="K38" i="61"/>
  <c r="G38" i="61"/>
  <c r="M38" i="61" s="1"/>
  <c r="K59" i="60"/>
  <c r="E59" i="61"/>
  <c r="G59" i="60"/>
  <c r="M59" i="60" s="1"/>
  <c r="L49" i="59"/>
  <c r="N49" i="59"/>
  <c r="O49" i="59" s="1"/>
  <c r="E49" i="61"/>
  <c r="G49" i="60"/>
  <c r="M49" i="60" s="1"/>
  <c r="K49" i="60"/>
  <c r="N56" i="60"/>
  <c r="O56" i="60" s="1"/>
  <c r="L56" i="60"/>
  <c r="E42" i="61"/>
  <c r="K42" i="60"/>
  <c r="G42" i="60"/>
  <c r="M42" i="60" s="1"/>
  <c r="L54" i="59"/>
  <c r="N54" i="59"/>
  <c r="O54" i="59" s="1"/>
  <c r="L42" i="59"/>
  <c r="N42" i="59"/>
  <c r="O42" i="59" s="1"/>
  <c r="K48" i="61"/>
  <c r="M41" i="60"/>
  <c r="G44" i="61"/>
  <c r="M44" i="61" s="1"/>
  <c r="K44" i="61"/>
  <c r="L41" i="59"/>
  <c r="N41" i="59"/>
  <c r="O41" i="59" s="1"/>
  <c r="L44" i="60"/>
  <c r="N44" i="60"/>
  <c r="O44" i="60" s="1"/>
  <c r="L57" i="59"/>
  <c r="N57" i="59"/>
  <c r="O57" i="59" s="1"/>
  <c r="L55" i="59"/>
  <c r="N55" i="59"/>
  <c r="O55" i="59" s="1"/>
  <c r="O41" i="58"/>
  <c r="M57" i="60"/>
  <c r="G57" i="61"/>
  <c r="M57" i="61" s="1"/>
  <c r="L48" i="60" l="1"/>
  <c r="G48" i="61"/>
  <c r="M48" i="61" s="1"/>
  <c r="G51" i="61"/>
  <c r="M51" i="61" s="1"/>
  <c r="L51" i="61" s="1"/>
  <c r="M141" i="57"/>
  <c r="M140" i="57"/>
  <c r="L51" i="60"/>
  <c r="O148" i="57"/>
  <c r="L56" i="61"/>
  <c r="L7" i="57"/>
  <c r="G41" i="61"/>
  <c r="M41" i="61" s="1"/>
  <c r="L41" i="61" s="1"/>
  <c r="N63" i="61"/>
  <c r="O63" i="61" s="1"/>
  <c r="L99" i="61"/>
  <c r="G55" i="61"/>
  <c r="M55" i="61" s="1"/>
  <c r="N55" i="61" s="1"/>
  <c r="O55" i="61" s="1"/>
  <c r="G62" i="61"/>
  <c r="M62" i="61" s="1"/>
  <c r="N62" i="61" s="1"/>
  <c r="O62" i="61" s="1"/>
  <c r="N35" i="58"/>
  <c r="O35" i="58"/>
  <c r="O148" i="58" s="1"/>
  <c r="N40" i="61"/>
  <c r="O40" i="61" s="1"/>
  <c r="L40" i="61"/>
  <c r="M39" i="60"/>
  <c r="G39" i="61"/>
  <c r="M39" i="61" s="1"/>
  <c r="N39" i="59"/>
  <c r="O39" i="59" s="1"/>
  <c r="L39" i="59"/>
  <c r="M35" i="59"/>
  <c r="L118" i="59"/>
  <c r="L118" i="60"/>
  <c r="L98" i="61"/>
  <c r="K118" i="61"/>
  <c r="G43" i="61"/>
  <c r="M43" i="61" s="1"/>
  <c r="M43" i="60"/>
  <c r="N58" i="60"/>
  <c r="O58" i="60" s="1"/>
  <c r="L58" i="60"/>
  <c r="N43" i="59"/>
  <c r="O43" i="59" s="1"/>
  <c r="L43" i="59"/>
  <c r="K58" i="61"/>
  <c r="G58" i="61"/>
  <c r="M58" i="61" s="1"/>
  <c r="N62" i="60"/>
  <c r="O62" i="60" s="1"/>
  <c r="L62" i="60"/>
  <c r="M61" i="60"/>
  <c r="G61" i="61"/>
  <c r="M61" i="61" s="1"/>
  <c r="N61" i="59"/>
  <c r="O61" i="59" s="1"/>
  <c r="L61" i="59"/>
  <c r="L53" i="60"/>
  <c r="N53" i="60"/>
  <c r="O53" i="60" s="1"/>
  <c r="N51" i="61"/>
  <c r="O51" i="61" s="1"/>
  <c r="G47" i="61"/>
  <c r="M47" i="61" s="1"/>
  <c r="K47" i="61"/>
  <c r="G53" i="61"/>
  <c r="M53" i="61" s="1"/>
  <c r="K53" i="61"/>
  <c r="N60" i="60"/>
  <c r="O60" i="60" s="1"/>
  <c r="L60" i="60"/>
  <c r="K60" i="61"/>
  <c r="G60" i="61"/>
  <c r="M60" i="61" s="1"/>
  <c r="L50" i="61"/>
  <c r="N50" i="61"/>
  <c r="O50" i="61" s="1"/>
  <c r="L50" i="60"/>
  <c r="N50" i="60"/>
  <c r="O50" i="60" s="1"/>
  <c r="L47" i="60"/>
  <c r="N47" i="60"/>
  <c r="O47" i="60" s="1"/>
  <c r="L52" i="61"/>
  <c r="N52" i="61"/>
  <c r="O52" i="61" s="1"/>
  <c r="N45" i="61"/>
  <c r="O45" i="61" s="1"/>
  <c r="L45" i="61"/>
  <c r="N37" i="61"/>
  <c r="O37" i="61" s="1"/>
  <c r="L49" i="60"/>
  <c r="N49" i="60"/>
  <c r="O49" i="60" s="1"/>
  <c r="K59" i="61"/>
  <c r="G59" i="61"/>
  <c r="M59" i="61" s="1"/>
  <c r="G42" i="61"/>
  <c r="M42" i="61" s="1"/>
  <c r="K42" i="61"/>
  <c r="K49" i="61"/>
  <c r="G49" i="61"/>
  <c r="M49" i="61" s="1"/>
  <c r="N38" i="61"/>
  <c r="O38" i="61" s="1"/>
  <c r="L38" i="61"/>
  <c r="L54" i="60"/>
  <c r="N54" i="60"/>
  <c r="O54" i="60" s="1"/>
  <c r="K54" i="61"/>
  <c r="G54" i="61"/>
  <c r="M54" i="61" s="1"/>
  <c r="L42" i="60"/>
  <c r="N42" i="60"/>
  <c r="O42" i="60" s="1"/>
  <c r="L59" i="60"/>
  <c r="N59" i="60"/>
  <c r="O59" i="60" s="1"/>
  <c r="L57" i="61"/>
  <c r="N57" i="61"/>
  <c r="O57" i="61" s="1"/>
  <c r="L57" i="60"/>
  <c r="N57" i="60"/>
  <c r="O57" i="60" s="1"/>
  <c r="N41" i="60"/>
  <c r="L41" i="60"/>
  <c r="L44" i="61"/>
  <c r="N44" i="61"/>
  <c r="O44" i="61" s="1"/>
  <c r="N48" i="61"/>
  <c r="O48" i="61" s="1"/>
  <c r="L48" i="61"/>
  <c r="L55" i="60"/>
  <c r="N55" i="60"/>
  <c r="O55" i="60" s="1"/>
  <c r="O137" i="58" l="1"/>
  <c r="O139" i="58"/>
  <c r="M98" i="57"/>
  <c r="M99" i="57"/>
  <c r="M101" i="57"/>
  <c r="M100" i="57"/>
  <c r="M108" i="57"/>
  <c r="M109" i="57"/>
  <c r="M117" i="57"/>
  <c r="M113" i="57"/>
  <c r="M115" i="57"/>
  <c r="M102" i="57"/>
  <c r="M103" i="57"/>
  <c r="M106" i="57"/>
  <c r="M112" i="57"/>
  <c r="M107" i="57"/>
  <c r="M105" i="57"/>
  <c r="M116" i="57"/>
  <c r="M111" i="57"/>
  <c r="M114" i="57"/>
  <c r="M110" i="57"/>
  <c r="M104" i="57"/>
  <c r="N41" i="61"/>
  <c r="O41" i="61" s="1"/>
  <c r="O137" i="57"/>
  <c r="O139" i="57"/>
  <c r="L5" i="58"/>
  <c r="G120" i="58" s="1"/>
  <c r="L55" i="61"/>
  <c r="L62" i="61"/>
  <c r="L39" i="61"/>
  <c r="N39" i="61"/>
  <c r="O39" i="61" s="1"/>
  <c r="N39" i="60"/>
  <c r="O39" i="60" s="1"/>
  <c r="L39" i="60"/>
  <c r="M35" i="60"/>
  <c r="L118" i="61"/>
  <c r="O35" i="59"/>
  <c r="O148" i="59" s="1"/>
  <c r="N35" i="59"/>
  <c r="L58" i="61"/>
  <c r="N58" i="61"/>
  <c r="O58" i="61" s="1"/>
  <c r="L43" i="60"/>
  <c r="N43" i="60"/>
  <c r="O43" i="60" s="1"/>
  <c r="N43" i="61"/>
  <c r="O43" i="61" s="1"/>
  <c r="L43" i="61"/>
  <c r="N61" i="61"/>
  <c r="O61" i="61" s="1"/>
  <c r="L61" i="61"/>
  <c r="L61" i="60"/>
  <c r="N61" i="60"/>
  <c r="O61" i="60" s="1"/>
  <c r="N53" i="61"/>
  <c r="O53" i="61" s="1"/>
  <c r="L53" i="61"/>
  <c r="N47" i="61"/>
  <c r="O47" i="61" s="1"/>
  <c r="L47" i="61"/>
  <c r="N60" i="61"/>
  <c r="O60" i="61" s="1"/>
  <c r="L60" i="61"/>
  <c r="L54" i="61"/>
  <c r="N54" i="61"/>
  <c r="O54" i="61" s="1"/>
  <c r="N42" i="61"/>
  <c r="L42" i="61"/>
  <c r="L59" i="61"/>
  <c r="N59" i="61"/>
  <c r="O59" i="61" s="1"/>
  <c r="M35" i="61"/>
  <c r="N49" i="61"/>
  <c r="O49" i="61" s="1"/>
  <c r="L49" i="61"/>
  <c r="O41" i="60"/>
  <c r="O137" i="59" l="1"/>
  <c r="O139" i="59"/>
  <c r="D81" i="46"/>
  <c r="M141" i="58"/>
  <c r="M140" i="58"/>
  <c r="K51" i="46"/>
  <c r="K63" i="46"/>
  <c r="D51" i="46"/>
  <c r="D69" i="46"/>
  <c r="K57" i="46"/>
  <c r="K81" i="46"/>
  <c r="O140" i="57"/>
  <c r="O141" i="57" s="1"/>
  <c r="O143" i="57" s="1"/>
  <c r="L7" i="58"/>
  <c r="N102" i="57"/>
  <c r="N116" i="57"/>
  <c r="K87" i="46"/>
  <c r="N114" i="57"/>
  <c r="N98" i="57"/>
  <c r="N99" i="57"/>
  <c r="N111" i="57"/>
  <c r="K75" i="46"/>
  <c r="N115" i="57"/>
  <c r="K69" i="46"/>
  <c r="D75" i="46"/>
  <c r="D57" i="46"/>
  <c r="D63" i="46"/>
  <c r="D93" i="46"/>
  <c r="D87" i="46"/>
  <c r="K26" i="46"/>
  <c r="K44" i="46"/>
  <c r="K38" i="46"/>
  <c r="K32" i="46"/>
  <c r="K20" i="46"/>
  <c r="D18" i="46"/>
  <c r="O35" i="60"/>
  <c r="O148" i="60" s="1"/>
  <c r="N35" i="60"/>
  <c r="N35" i="61"/>
  <c r="O42" i="61"/>
  <c r="O35" i="61" s="1"/>
  <c r="O148" i="61" s="1"/>
  <c r="O137" i="61" l="1"/>
  <c r="O139" i="61"/>
  <c r="O137" i="60"/>
  <c r="O139" i="60"/>
  <c r="M113" i="58"/>
  <c r="M105" i="58"/>
  <c r="M112" i="58"/>
  <c r="M104" i="58"/>
  <c r="N104" i="58" s="1"/>
  <c r="M111" i="58"/>
  <c r="M103" i="58"/>
  <c r="N103" i="58" s="1"/>
  <c r="M100" i="58"/>
  <c r="M110" i="58"/>
  <c r="M102" i="58"/>
  <c r="N102" i="58" s="1"/>
  <c r="M108" i="58"/>
  <c r="M117" i="58"/>
  <c r="M109" i="58"/>
  <c r="M101" i="58"/>
  <c r="N101" i="58" s="1"/>
  <c r="O140" i="58"/>
  <c r="O141" i="58" s="1"/>
  <c r="O143" i="58" s="1"/>
  <c r="M116" i="58"/>
  <c r="M115" i="58"/>
  <c r="M107" i="58"/>
  <c r="M99" i="58"/>
  <c r="N99" i="58" s="1"/>
  <c r="M114" i="58"/>
  <c r="N114" i="58" s="1"/>
  <c r="M106" i="58"/>
  <c r="M98" i="58"/>
  <c r="O142" i="57"/>
  <c r="O149" i="57" s="1"/>
  <c r="N104" i="57"/>
  <c r="N113" i="57"/>
  <c r="L5" i="59"/>
  <c r="G120" i="59" s="1"/>
  <c r="N108" i="57"/>
  <c r="N107" i="57"/>
  <c r="N101" i="57"/>
  <c r="N112" i="57"/>
  <c r="N100" i="57"/>
  <c r="N106" i="57"/>
  <c r="N117" i="57"/>
  <c r="M118" i="57"/>
  <c r="N110" i="57"/>
  <c r="N103" i="57"/>
  <c r="N105" i="57"/>
  <c r="N109" i="57"/>
  <c r="O142" i="58" l="1"/>
  <c r="O149" i="58" s="1"/>
  <c r="O150" i="58" s="1"/>
  <c r="O151" i="58" s="1"/>
  <c r="F150" i="58" s="1"/>
  <c r="M141" i="59"/>
  <c r="M140" i="59"/>
  <c r="N107" i="58"/>
  <c r="N110" i="58"/>
  <c r="N111" i="58"/>
  <c r="N108" i="58"/>
  <c r="N106" i="58"/>
  <c r="N98" i="58"/>
  <c r="L7" i="59"/>
  <c r="N105" i="58"/>
  <c r="N115" i="58"/>
  <c r="O150" i="57"/>
  <c r="O151" i="57" s="1"/>
  <c r="N113" i="58"/>
  <c r="M118" i="58"/>
  <c r="N112" i="58"/>
  <c r="N109" i="58"/>
  <c r="N116" i="58"/>
  <c r="N100" i="58"/>
  <c r="N117" i="58"/>
  <c r="M117" i="59" l="1"/>
  <c r="M109" i="59"/>
  <c r="M101" i="59"/>
  <c r="M116" i="59"/>
  <c r="M108" i="59"/>
  <c r="M100" i="59"/>
  <c r="M115" i="59"/>
  <c r="M107" i="59"/>
  <c r="M99" i="59"/>
  <c r="M112" i="59"/>
  <c r="M104" i="59"/>
  <c r="M114" i="59"/>
  <c r="M106" i="59"/>
  <c r="M98" i="59"/>
  <c r="M113" i="59"/>
  <c r="M105" i="59"/>
  <c r="O140" i="59"/>
  <c r="O141" i="59" s="1"/>
  <c r="O143" i="59" s="1"/>
  <c r="M111" i="59"/>
  <c r="M103" i="59"/>
  <c r="M110" i="59"/>
  <c r="M102" i="59"/>
  <c r="L5" i="60"/>
  <c r="G120" i="60" s="1"/>
  <c r="F150" i="57"/>
  <c r="O142" i="59" l="1"/>
  <c r="O149" i="59" s="1"/>
  <c r="O150" i="59" s="1"/>
  <c r="O151" i="59" s="1"/>
  <c r="F150" i="59" s="1"/>
  <c r="M141" i="60"/>
  <c r="M140" i="60"/>
  <c r="N116" i="59"/>
  <c r="N110" i="59"/>
  <c r="N98" i="59"/>
  <c r="N117" i="59"/>
  <c r="L7" i="60"/>
  <c r="M113" i="60" l="1"/>
  <c r="M105" i="60"/>
  <c r="M112" i="60"/>
  <c r="M104" i="60"/>
  <c r="M111" i="60"/>
  <c r="M103" i="60"/>
  <c r="M116" i="60"/>
  <c r="M110" i="60"/>
  <c r="M102" i="60"/>
  <c r="M117" i="60"/>
  <c r="M109" i="60"/>
  <c r="M101" i="60"/>
  <c r="M100" i="60"/>
  <c r="M108" i="60"/>
  <c r="M115" i="60"/>
  <c r="M107" i="60"/>
  <c r="M99" i="60"/>
  <c r="M114" i="60"/>
  <c r="M106" i="60"/>
  <c r="M98" i="60"/>
  <c r="O140" i="60"/>
  <c r="N103" i="59"/>
  <c r="N108" i="59"/>
  <c r="N100" i="59"/>
  <c r="N99" i="59"/>
  <c r="N113" i="59"/>
  <c r="N106" i="59"/>
  <c r="N115" i="59"/>
  <c r="N111" i="59"/>
  <c r="N101" i="59"/>
  <c r="M118" i="59"/>
  <c r="N107" i="59"/>
  <c r="N105" i="59"/>
  <c r="L5" i="61"/>
  <c r="G120" i="61" s="1"/>
  <c r="N109" i="59"/>
  <c r="N104" i="59"/>
  <c r="N102" i="59"/>
  <c r="N112" i="59"/>
  <c r="N114" i="59"/>
  <c r="O142" i="60" l="1"/>
  <c r="O141" i="60"/>
  <c r="O143" i="60" s="1"/>
  <c r="M140" i="61"/>
  <c r="M141" i="61"/>
  <c r="N116" i="60"/>
  <c r="N117" i="60"/>
  <c r="N108" i="60"/>
  <c r="N98" i="60"/>
  <c r="N110" i="60"/>
  <c r="L7" i="61"/>
  <c r="O149" i="60" l="1"/>
  <c r="O150" i="60" s="1"/>
  <c r="O151" i="60" s="1"/>
  <c r="F150" i="60" s="1"/>
  <c r="M117" i="61"/>
  <c r="M109" i="61"/>
  <c r="M101" i="61"/>
  <c r="M116" i="61"/>
  <c r="M100" i="61"/>
  <c r="M108" i="61"/>
  <c r="M115" i="61"/>
  <c r="M107" i="61"/>
  <c r="M99" i="61"/>
  <c r="M114" i="61"/>
  <c r="M106" i="61"/>
  <c r="M98" i="61"/>
  <c r="M112" i="61"/>
  <c r="M113" i="61"/>
  <c r="M105" i="61"/>
  <c r="M104" i="61"/>
  <c r="M111" i="61"/>
  <c r="M103" i="61"/>
  <c r="M110" i="61"/>
  <c r="M102" i="61"/>
  <c r="O140" i="61"/>
  <c r="O141" i="61" s="1"/>
  <c r="O143" i="61" s="1"/>
  <c r="N106" i="60"/>
  <c r="N101" i="60"/>
  <c r="N107" i="60"/>
  <c r="N115" i="60"/>
  <c r="N102" i="60"/>
  <c r="N104" i="60"/>
  <c r="N109" i="60"/>
  <c r="N105" i="60"/>
  <c r="N113" i="60"/>
  <c r="N99" i="60"/>
  <c r="N103" i="60"/>
  <c r="M118" i="60"/>
  <c r="N114" i="60"/>
  <c r="N100" i="60"/>
  <c r="N112" i="60"/>
  <c r="N111" i="60"/>
  <c r="O142" i="61" l="1"/>
  <c r="O149" i="61" s="1"/>
  <c r="O150" i="61" s="1"/>
  <c r="O151" i="61" s="1"/>
  <c r="F150" i="61" s="1"/>
  <c r="N105" i="61"/>
  <c r="N108" i="61"/>
  <c r="N113" i="61"/>
  <c r="N110" i="61"/>
  <c r="N100" i="61" l="1"/>
  <c r="N104" i="61"/>
  <c r="N112" i="61"/>
  <c r="N116" i="61"/>
  <c r="N111" i="61"/>
  <c r="N117" i="61"/>
  <c r="N114" i="61"/>
  <c r="N109" i="61"/>
  <c r="N103" i="61"/>
  <c r="N102" i="61"/>
  <c r="N107" i="61"/>
  <c r="N99" i="61"/>
  <c r="N98" i="61"/>
  <c r="M118" i="61"/>
  <c r="N115" i="61"/>
  <c r="N101" i="61"/>
  <c r="N106" i="61"/>
  <c r="K7" i="46" l="1"/>
  <c r="D22" i="43"/>
  <c r="D36" i="43"/>
  <c r="D23" i="43"/>
  <c r="D21" i="43"/>
  <c r="D25" i="43"/>
  <c r="D17" i="43"/>
  <c r="D26" i="43"/>
  <c r="D28" i="43"/>
  <c r="D18" i="43"/>
  <c r="D19" i="46" l="1"/>
  <c r="D37" i="43"/>
  <c r="D45" i="43" l="1"/>
  <c r="D39" i="46"/>
  <c r="D33" i="43"/>
  <c r="D34" i="46" l="1"/>
  <c r="D12" i="4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Kirstin Wilsey</author>
  </authors>
  <commentList>
    <comment ref="O137" authorId="0" shapeId="0" xr:uid="{00000000-0006-0000-0100-000001000000}">
      <text>
        <r>
          <rPr>
            <sz val="9"/>
            <color indexed="81"/>
            <rFont val="Tahoma"/>
            <family val="2"/>
          </rPr>
          <t>This is only used for NIH, the cell will autocalculate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Kirstin Wilsey</author>
  </authors>
  <commentList>
    <comment ref="O137" authorId="0" shapeId="0" xr:uid="{00000000-0006-0000-0200-000001000000}">
      <text>
        <r>
          <rPr>
            <sz val="9"/>
            <color indexed="81"/>
            <rFont val="Tahoma"/>
            <family val="2"/>
          </rPr>
          <t>This is only used for NIH, the cell will autocalculate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Kirstin Wilsey</author>
  </authors>
  <commentList>
    <comment ref="O137" authorId="0" shapeId="0" xr:uid="{00000000-0006-0000-0300-000001000000}">
      <text>
        <r>
          <rPr>
            <sz val="9"/>
            <color indexed="81"/>
            <rFont val="Tahoma"/>
            <family val="2"/>
          </rPr>
          <t>This is only used for NIH, the cell will autocalculate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Kirstin Wilsey</author>
  </authors>
  <commentList>
    <comment ref="O137" authorId="0" shapeId="0" xr:uid="{00000000-0006-0000-0400-000001000000}">
      <text>
        <r>
          <rPr>
            <sz val="9"/>
            <color indexed="81"/>
            <rFont val="Tahoma"/>
            <family val="2"/>
          </rPr>
          <t>This is only used for NIH, the cell will autocalculate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Kirstin Wilsey</author>
  </authors>
  <commentList>
    <comment ref="O137" authorId="0" shapeId="0" xr:uid="{00000000-0006-0000-0500-000001000000}">
      <text>
        <r>
          <rPr>
            <sz val="9"/>
            <color indexed="81"/>
            <rFont val="Tahoma"/>
            <family val="2"/>
          </rPr>
          <t>This is only used for NIH, the cell will autocalculate</t>
        </r>
      </text>
    </comment>
  </commentList>
</comments>
</file>

<file path=xl/sharedStrings.xml><?xml version="1.0" encoding="utf-8"?>
<sst xmlns="http://schemas.openxmlformats.org/spreadsheetml/2006/main" count="1177" uniqueCount="274">
  <si>
    <t>Total</t>
  </si>
  <si>
    <t>Role on Project</t>
  </si>
  <si>
    <t>Emp/Family</t>
  </si>
  <si>
    <t>Emp/Child</t>
  </si>
  <si>
    <t>Emp/Spouse</t>
  </si>
  <si>
    <t>Emp Only</t>
  </si>
  <si>
    <t>Title:</t>
  </si>
  <si>
    <t xml:space="preserve">% Fringe </t>
  </si>
  <si>
    <t>Full Time</t>
  </si>
  <si>
    <t>Part Time</t>
  </si>
  <si>
    <t>Proposal Budget Template</t>
  </si>
  <si>
    <t>The University of Texas at San Antonio</t>
  </si>
  <si>
    <t>Start:</t>
  </si>
  <si>
    <t>End:</t>
  </si>
  <si>
    <t>PI/PD:</t>
  </si>
  <si>
    <t>Premium Sharing</t>
  </si>
  <si>
    <t>1. Equipment Item 1</t>
  </si>
  <si>
    <t>2. Equipment Item 2</t>
  </si>
  <si>
    <t>3. Equipment Item 3</t>
  </si>
  <si>
    <t>Total Consortium F&amp;A</t>
  </si>
  <si>
    <t xml:space="preserve"> Total</t>
  </si>
  <si>
    <t>Consortium Totals</t>
  </si>
  <si>
    <t>Cost Shared Percentage of Total Budget</t>
  </si>
  <si>
    <t>Cost Shared Amount (Enter from the Cost Share Request form, only if applicable)</t>
  </si>
  <si>
    <t>Travel</t>
  </si>
  <si>
    <t>Name of Subrecipient</t>
  </si>
  <si>
    <t>Select One</t>
  </si>
  <si>
    <t>G4070/G5080 Consultant Services</t>
  </si>
  <si>
    <t>G4140/G5160 Scholarships and Fellowships</t>
  </si>
  <si>
    <t>G4150/G5170 Tuition &amp; Fees</t>
  </si>
  <si>
    <t xml:space="preserve">G4130/G5155 Participant Travel </t>
  </si>
  <si>
    <t>G4020/G5030 Fringe Benefits</t>
  </si>
  <si>
    <t>G4040/G5050 Equipment Fabrication</t>
  </si>
  <si>
    <t>G4110/G5130 Domestic</t>
  </si>
  <si>
    <t>G4090/G5110 Materials &amp; Supplies</t>
  </si>
  <si>
    <t>G4090/G5110 Computer Services</t>
  </si>
  <si>
    <t>Off Campus</t>
  </si>
  <si>
    <t>On Campus</t>
  </si>
  <si>
    <t>Direct Costs (F&amp;A Included)</t>
  </si>
  <si>
    <t>Direct Costs (F&amp;A Excluded)</t>
  </si>
  <si>
    <t xml:space="preserve">F&amp;A Base </t>
  </si>
  <si>
    <t>Subawards</t>
  </si>
  <si>
    <t>Subawards/Subcontracts - Indirect Costs are only charged on the first $25,000 of a subaward</t>
  </si>
  <si>
    <t>MTDC: exclusions include: Equipment, Capital Expenditures, Charges for Patient Care, Student Tuition Remission, Rental Costs of off-site facilities, scholarships and fellowships, Participant Support, and the portion of each subaward in excess of $25,000</t>
  </si>
  <si>
    <t>G4090/G5110 Publication Costs</t>
  </si>
  <si>
    <t>Cost Share</t>
  </si>
  <si>
    <t>Sponsor Costs</t>
  </si>
  <si>
    <t>G4130/G5150 Participant Expenses</t>
  </si>
  <si>
    <t>G4120/G5140 Foreign</t>
  </si>
  <si>
    <t>G4105/G5125 Equipment Rental</t>
  </si>
  <si>
    <t>G4090/G5110 User Fees</t>
  </si>
  <si>
    <t>Student and Participant Support</t>
  </si>
  <si>
    <t>Other Costs (F&amp;A Included)</t>
  </si>
  <si>
    <t>Other Costs (F&amp;A Excluded)</t>
  </si>
  <si>
    <t>G4030/G5040 Alterations and Renovations</t>
  </si>
  <si>
    <t>G4100/G5120 Rentals and Off Site Leases</t>
  </si>
  <si>
    <t>G4180/G5200 Sub F&amp;A</t>
  </si>
  <si>
    <t>G4170/G5190 Sub &gt; $25K</t>
  </si>
  <si>
    <t>Award Costs</t>
  </si>
  <si>
    <t xml:space="preserve"> </t>
  </si>
  <si>
    <t>Name</t>
  </si>
  <si>
    <t>UTSA Direct Costs</t>
  </si>
  <si>
    <t>Totals</t>
  </si>
  <si>
    <t>Indirect Rate</t>
  </si>
  <si>
    <t>G4050/G5060 Equipment Capital: Note: Minimum $5,000 per item.</t>
  </si>
  <si>
    <t>Select</t>
  </si>
  <si>
    <t>FT_BE_12</t>
  </si>
  <si>
    <t>PT_BE_12</t>
  </si>
  <si>
    <t>PT_NBE_12</t>
  </si>
  <si>
    <t>None</t>
  </si>
  <si>
    <t>Total Personnel Costs</t>
  </si>
  <si>
    <t>Hourly</t>
  </si>
  <si>
    <t>Percent of Effort [Hrs/wk]</t>
  </si>
  <si>
    <t>Institutional Base Salary [Hourly Rate]</t>
  </si>
  <si>
    <t>Employee Type*</t>
  </si>
  <si>
    <t>*Employee Type Key</t>
  </si>
  <si>
    <r>
      <t xml:space="preserve">G5115 Mileage Expense </t>
    </r>
    <r>
      <rPr>
        <b/>
        <sz val="10"/>
        <rFont val="Arial"/>
        <family val="2"/>
      </rPr>
      <t>(Center for Archaeological Research Only)</t>
    </r>
  </si>
  <si>
    <t>G4010/G5010 
Salary</t>
  </si>
  <si>
    <r>
      <rPr>
        <b/>
        <sz val="10"/>
        <rFont val="Arial"/>
        <family val="2"/>
      </rPr>
      <t>UTSA Federally Negotiated F&amp;A (Indirect Cost)</t>
    </r>
    <r>
      <rPr>
        <sz val="10"/>
        <rFont val="Arial"/>
        <family val="2"/>
      </rPr>
      <t xml:space="preserve">                                             
</t>
    </r>
  </si>
  <si>
    <t>Total Direct Costs - Consortium F&amp;A</t>
  </si>
  <si>
    <r>
      <t xml:space="preserve">G5070 Curation </t>
    </r>
    <r>
      <rPr>
        <b/>
        <sz val="10"/>
        <rFont val="Arial"/>
        <family val="2"/>
      </rPr>
      <t>(Center for Archaeological Research Only)</t>
    </r>
  </si>
  <si>
    <r>
      <t xml:space="preserve">G5090 Office Services </t>
    </r>
    <r>
      <rPr>
        <b/>
        <sz val="10"/>
        <rFont val="Arial"/>
        <family val="2"/>
      </rPr>
      <t>(Center for Archaeological Research Only)</t>
    </r>
  </si>
  <si>
    <t>PeopleSoft Proposal ID:</t>
  </si>
  <si>
    <t>Sponsor Award Number:</t>
  </si>
  <si>
    <t>Detailed Budget Sheet</t>
  </si>
  <si>
    <t>From</t>
  </si>
  <si>
    <t>To</t>
  </si>
  <si>
    <t>Budget Period Number:</t>
  </si>
  <si>
    <t>Budget Period:</t>
  </si>
  <si>
    <t>Complete detailed budget sheet if fixed price contract award or no detailed line item budget provided.</t>
  </si>
  <si>
    <t>Amount</t>
  </si>
  <si>
    <t>G4010</t>
  </si>
  <si>
    <t>L4 Salaries</t>
  </si>
  <si>
    <t>G4020</t>
  </si>
  <si>
    <t>L4 Fringe Benefits</t>
  </si>
  <si>
    <t>G4110</t>
  </si>
  <si>
    <t>L4 Travel - Domestic</t>
  </si>
  <si>
    <t>G4120</t>
  </si>
  <si>
    <t>L4 Travel - Foreign</t>
  </si>
  <si>
    <t>G4030</t>
  </si>
  <si>
    <t>L4 Construction</t>
  </si>
  <si>
    <t>G4040</t>
  </si>
  <si>
    <t>L4 Equipment Fabrication</t>
  </si>
  <si>
    <t>G4050</t>
  </si>
  <si>
    <t>L4 Equipment Capital</t>
  </si>
  <si>
    <t>G4060</t>
  </si>
  <si>
    <t>G4070</t>
  </si>
  <si>
    <t>L4 Consultants</t>
  </si>
  <si>
    <t>G4080</t>
  </si>
  <si>
    <t>G4090</t>
  </si>
  <si>
    <t>L4 Other Direct Costs</t>
  </si>
  <si>
    <t>G4100</t>
  </si>
  <si>
    <t>L4 Rentals &amp; Leases</t>
  </si>
  <si>
    <t>G4105</t>
  </si>
  <si>
    <t>L4 Rental Equipment</t>
  </si>
  <si>
    <t>G4130</t>
  </si>
  <si>
    <t>L4 Participant Expenses</t>
  </si>
  <si>
    <t>G4140</t>
  </si>
  <si>
    <t>L4 Scholarships &amp; Fellowships</t>
  </si>
  <si>
    <t>G4150</t>
  </si>
  <si>
    <t>L4 Tuition &amp; Fees</t>
  </si>
  <si>
    <t>G4160</t>
  </si>
  <si>
    <t>L4 SubK &lt;$25K</t>
  </si>
  <si>
    <t>G4170</t>
  </si>
  <si>
    <t>L4 SubK &gt;$25K</t>
  </si>
  <si>
    <t>G4180</t>
  </si>
  <si>
    <t>L4 F&amp;A</t>
  </si>
  <si>
    <t>G5010</t>
  </si>
  <si>
    <t>L5 Salaries</t>
  </si>
  <si>
    <t>G5030</t>
  </si>
  <si>
    <t>L5 Fringe Benefits</t>
  </si>
  <si>
    <t>G5130</t>
  </si>
  <si>
    <t>L5 Travel - Domestic</t>
  </si>
  <si>
    <t>G5140</t>
  </si>
  <si>
    <t>L5 Travel - Foreign</t>
  </si>
  <si>
    <t>G5040</t>
  </si>
  <si>
    <t>L5 Construction</t>
  </si>
  <si>
    <t>G5050</t>
  </si>
  <si>
    <t>L5 Equipment Fabrication</t>
  </si>
  <si>
    <t>G5060</t>
  </si>
  <si>
    <t>L5 Equipment Capital</t>
  </si>
  <si>
    <t>G5070</t>
  </si>
  <si>
    <t>L5 Curation</t>
  </si>
  <si>
    <t>G5080</t>
  </si>
  <si>
    <t>L5 Consultants</t>
  </si>
  <si>
    <t>G5090</t>
  </si>
  <si>
    <t>L5 Office Services</t>
  </si>
  <si>
    <t>G5110</t>
  </si>
  <si>
    <t>L5 Other Direct Costs</t>
  </si>
  <si>
    <t>G5115</t>
  </si>
  <si>
    <t>L5 Mileage Expenses</t>
  </si>
  <si>
    <t>G5120</t>
  </si>
  <si>
    <t>L5 Rentals &amp; Leases</t>
  </si>
  <si>
    <t>G5125</t>
  </si>
  <si>
    <t>L5 Rental Equipment</t>
  </si>
  <si>
    <t>G5150</t>
  </si>
  <si>
    <t>L5 Participant Expenses</t>
  </si>
  <si>
    <t>G5155</t>
  </si>
  <si>
    <t>L5 Participant Travel</t>
  </si>
  <si>
    <t>G5160</t>
  </si>
  <si>
    <t>L5 Scholarships &amp; Fellowships</t>
  </si>
  <si>
    <t>G5170</t>
  </si>
  <si>
    <t>L5 Tuition &amp; Fees</t>
  </si>
  <si>
    <t>G5180</t>
  </si>
  <si>
    <t>L5 SubK &lt;$25K</t>
  </si>
  <si>
    <t>G5190</t>
  </si>
  <si>
    <t>L5 SubK &gt;$25K</t>
  </si>
  <si>
    <t>G5200</t>
  </si>
  <si>
    <t>L5 F&amp;A</t>
  </si>
  <si>
    <t>Primary Project</t>
  </si>
  <si>
    <t>Project ID</t>
  </si>
  <si>
    <t>Other (F&amp;A Included)</t>
  </si>
  <si>
    <t>Other (F&amp;A Excluded)</t>
  </si>
  <si>
    <t>FT_BE_09</t>
  </si>
  <si>
    <t>PT_NB_12</t>
  </si>
  <si>
    <t xml:space="preserve">If F&amp;A Rate is different than negotiated rate, please enter justification: </t>
  </si>
  <si>
    <t>Sponsor:</t>
  </si>
  <si>
    <t>Subrecipient Direct Costs</t>
  </si>
  <si>
    <t>Subrecipient Indirect Costs</t>
  </si>
  <si>
    <t>Subrecipient Total Costs</t>
  </si>
  <si>
    <t>Subrecipient Project Total</t>
  </si>
  <si>
    <t>G4090/G5116 Workshop-Seminar</t>
  </si>
  <si>
    <t>Computer Services</t>
  </si>
  <si>
    <t>All</t>
  </si>
  <si>
    <t>Publication Costs</t>
  </si>
  <si>
    <t>User Fees</t>
  </si>
  <si>
    <t>UTSA Indirect Costs</t>
  </si>
  <si>
    <t>?</t>
  </si>
  <si>
    <t>Other. Please Specify :</t>
  </si>
  <si>
    <t># of Months [Weeks]</t>
  </si>
  <si>
    <t xml:space="preserve">Award Total </t>
  </si>
  <si>
    <t>Award Total</t>
  </si>
  <si>
    <t>PT_NB_12 = Part Time, Non-Benefits Eligible, 12 month appointment faculty/staff. Part Time Salaried, Non-Benefits Eligible (Less than 20 hours/week) : GRA's and TA's less than 50% and part time or temporary salaried staff/students. 8% fringe with no premium sharing</t>
  </si>
  <si>
    <t>Hourly = Hourly Employee, Non-Benefits Eligible. 8% fringe with no premium sharing</t>
  </si>
  <si>
    <t>FT_BE_09 = Full Time, Benefits Eligible, 9 month appointment faculty. 18% fringe plus full premium sharing</t>
  </si>
  <si>
    <t>FT_BE_12 = Full Time (FTE &gt;= 0.75), Benefits Eligible, 12 month appointment faculty/staff. 18% fringe plus full premium sharing</t>
  </si>
  <si>
    <t>PT_BE_12 = Part Time (0.5 &lt;= FTE &lt; 0.75), Benefits Eligible, 12 month appointment faculty/staff. Part Time Salaried, Benefits Eligible (20-39 hours/week). GRA's and TA's 50%. 18% fringe plus up to 50% premium sharing</t>
  </si>
  <si>
    <t>G4160/G5180  Sub &lt; $25k</t>
  </si>
  <si>
    <t>Person Months</t>
  </si>
  <si>
    <t>G4150/G5170 Tuition &amp; Fees for salaried NSF student employee</t>
  </si>
  <si>
    <t>Period 6</t>
  </si>
  <si>
    <t>Period 7</t>
  </si>
  <si>
    <t>Period 8</t>
  </si>
  <si>
    <t>Period 9</t>
  </si>
  <si>
    <t>Period 10</t>
  </si>
  <si>
    <t>Note : more employee rows hidden if needed</t>
  </si>
  <si>
    <t>L4 Curation (L5 only)</t>
  </si>
  <si>
    <t>L4 Office Services (L5 Only)</t>
  </si>
  <si>
    <t>Personnel. Headers in [ ] indicate for hourly personnel</t>
  </si>
  <si>
    <t>Total Salary and Fringe</t>
  </si>
  <si>
    <t>other subawards hidden below</t>
  </si>
  <si>
    <t>NSF tuition goes here only if student is a participant paid a stipend</t>
  </si>
  <si>
    <t>Only for hosting a workshop, not attending a workshop</t>
  </si>
  <si>
    <t>Student employee travel should normally go under row 65 Travel. This line is for particpant or student participant travel.</t>
  </si>
  <si>
    <t xml:space="preserve">NSF tuition for students paid a salary. This goes under G.6.Other on NSF budget. </t>
  </si>
  <si>
    <t>Note: more subaward rows hidden if needed</t>
  </si>
  <si>
    <t>Premium Sharing Contribution Rates*</t>
  </si>
  <si>
    <t>F&amp;A Rate 1</t>
  </si>
  <si>
    <t>F&amp;A Rate 2</t>
  </si>
  <si>
    <t>Indirect Cost 1</t>
  </si>
  <si>
    <t>Indirect Cost 2</t>
  </si>
  <si>
    <t>Organized Research (FY 9/1/18-8/31/19)</t>
  </si>
  <si>
    <t>Organized Research (FY 9/1/19-8/31/20)</t>
  </si>
  <si>
    <t>Organized Research (FY 9/1/20-8/31/21)</t>
  </si>
  <si>
    <t>F&amp;A Base 1</t>
  </si>
  <si>
    <t>F&amp;A Base 2</t>
  </si>
  <si>
    <t>Organized Research (FY 9/1/17-8/31/18)</t>
  </si>
  <si>
    <t>Rate</t>
  </si>
  <si>
    <t>End Date</t>
  </si>
  <si>
    <t>Fiscal Year Begin</t>
  </si>
  <si>
    <t>FY</t>
  </si>
  <si>
    <t>Instruction (FY 9/1/17-8/31/21)</t>
  </si>
  <si>
    <t>Other Sponsored Activities (FY 9/1/17-8/31/21)</t>
  </si>
  <si>
    <t>All programs (FY 9/1/17-8/31/21)</t>
  </si>
  <si>
    <t>FY 9/1/23 - 8/31/24</t>
  </si>
  <si>
    <t>FY 9/1/24 - 8/31/25</t>
  </si>
  <si>
    <t>FY 9/1/25 - 8/31/26</t>
  </si>
  <si>
    <t>FY 9/1/26 - 8/31/27</t>
  </si>
  <si>
    <t>FY 9/1/27 - 8/31/28</t>
  </si>
  <si>
    <t>* Premium Sharing Rates for FY 9/1/23 to 8/31/24 are unknown at this time.  Rates shown are based on FY 19 rates.</t>
  </si>
  <si>
    <t>* Premium Sharing Rates for FY 9/1/24 to 8/31/25 are unknown at this time.  Rates shown are based on FY 19 rates.</t>
  </si>
  <si>
    <t>* Premium Sharing Rates for FY 9/1/25 to 8/31/26 are unknown at this time.  Rates shown are based on FY 19 rates.</t>
  </si>
  <si>
    <t>* Premium Sharing Rates for FY 9/1/26 to 8/31/27 are unknown at this time.  Rates shown are based on FY 19 rates.</t>
  </si>
  <si>
    <t>* Premium Sharing Rates for FY 9/1/27 to 8/31/28 are unknown at this time.  Rates shown are based on FY 19 rates.</t>
  </si>
  <si>
    <t>Proposal Budget Template - Internal Seed Grant</t>
  </si>
  <si>
    <t>TOTAL</t>
  </si>
  <si>
    <t>Domestic</t>
  </si>
  <si>
    <t>Other Costs</t>
  </si>
  <si>
    <t>Materials &amp; Supplies</t>
  </si>
  <si>
    <t>Consultant/Contractual Services</t>
  </si>
  <si>
    <t>Equipment Rental</t>
  </si>
  <si>
    <t>Equipment Capital: Note: Minimum $5,000 per item.</t>
  </si>
  <si>
    <t>Workshop-Seminar</t>
  </si>
  <si>
    <t>Human Subject Payments</t>
  </si>
  <si>
    <t>Mileage Expenses</t>
  </si>
  <si>
    <t>Office Services</t>
  </si>
  <si>
    <t>A4000 Operating Expenses, Including Travel</t>
  </si>
  <si>
    <t>Personnel Costs</t>
  </si>
  <si>
    <t>Total Budgeted Costs</t>
  </si>
  <si>
    <t>Faculty</t>
  </si>
  <si>
    <t>Staff</t>
  </si>
  <si>
    <t>TA Salaried</t>
  </si>
  <si>
    <t>GTA Salaried</t>
  </si>
  <si>
    <t>A1000
Staff Salaries</t>
  </si>
  <si>
    <t>A1200
Wages</t>
  </si>
  <si>
    <t>A2000
Faculty &amp; TA Salaries</t>
  </si>
  <si>
    <t>A2100
GTA Salaries</t>
  </si>
  <si>
    <t>Other (Specify):</t>
  </si>
  <si>
    <t>1. Equipment Item 1 (Specify):</t>
  </si>
  <si>
    <t>2. Equipment Item 2 (Specify):</t>
  </si>
  <si>
    <t>3. Equipment Item 3 (Specify):</t>
  </si>
  <si>
    <t>Employee Type</t>
  </si>
  <si>
    <t>Total Operating Expenses</t>
  </si>
  <si>
    <t>GRA Salaried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</si>
</sst>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&quot;$&quot;* #,##0_);_(&quot;$&quot;* \(#,##0\);_(&quot;$&quot;* &quot;-&quot;??_);_(@_)"/>
    <numFmt numFmtId="167" formatCode="#0.##;#0.##;\-"/>
    <numFmt numFmtId="168" formatCode=";;;@"/>
    <numFmt numFmtId="169" formatCode="mm/dd/yy;@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b/>
      <i/>
      <sz val="14"/>
      <name val="Arial"/>
      <family val="2"/>
    </font>
    <font>
      <b/>
      <sz val="16"/>
      <name val="Arial"/>
      <family val="2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indexed="64"/>
      </right>
      <top style="double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2">
    <xf numFmtId="0" fontId="0" fillId="0" borderId="0"/>
    <xf numFmtId="43" fontId="1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/>
    <xf numFmtId="9" fontId="20" fillId="0" borderId="0" applyFont="0" applyFill="0" applyBorder="0" applyAlignment="0" applyProtection="0"/>
    <xf numFmtId="0" fontId="10" fillId="0" borderId="0"/>
    <xf numFmtId="0" fontId="9" fillId="0" borderId="0"/>
    <xf numFmtId="0" fontId="1" fillId="0" borderId="0"/>
  </cellStyleXfs>
  <cellXfs count="475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0" fontId="14" fillId="0" borderId="0" xfId="0" applyFont="1"/>
    <xf numFmtId="0" fontId="0" fillId="0" borderId="0" xfId="0" applyProtection="1">
      <protection locked="0" hidden="1"/>
    </xf>
    <xf numFmtId="164" fontId="12" fillId="0" borderId="0" xfId="0" applyNumberFormat="1" applyFont="1" applyAlignment="1">
      <alignment horizontal="center"/>
    </xf>
    <xf numFmtId="168" fontId="11" fillId="2" borderId="4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wrapText="1"/>
      <protection locked="0"/>
    </xf>
    <xf numFmtId="0" fontId="11" fillId="0" borderId="4" xfId="0" applyFont="1" applyBorder="1" applyAlignment="1" applyProtection="1">
      <alignment horizontal="center"/>
      <protection locked="0"/>
    </xf>
    <xf numFmtId="167" fontId="11" fillId="5" borderId="4" xfId="0" applyNumberFormat="1" applyFont="1" applyFill="1" applyBorder="1" applyAlignment="1" applyProtection="1">
      <alignment horizontal="center"/>
      <protection locked="0"/>
    </xf>
    <xf numFmtId="10" fontId="11" fillId="5" borderId="4" xfId="0" applyNumberFormat="1" applyFont="1" applyFill="1" applyBorder="1" applyAlignment="1">
      <alignment horizontal="center"/>
    </xf>
    <xf numFmtId="166" fontId="11" fillId="5" borderId="15" xfId="0" applyNumberFormat="1" applyFont="1" applyFill="1" applyBorder="1" applyAlignment="1">
      <alignment horizontal="center"/>
    </xf>
    <xf numFmtId="166" fontId="11" fillId="2" borderId="35" xfId="0" applyNumberFormat="1" applyFont="1" applyFill="1" applyBorder="1" applyAlignment="1" applyProtection="1">
      <alignment horizontal="center"/>
      <protection locked="0"/>
    </xf>
    <xf numFmtId="166" fontId="11" fillId="2" borderId="38" xfId="0" applyNumberFormat="1" applyFont="1" applyFill="1" applyBorder="1" applyAlignment="1" applyProtection="1">
      <alignment horizontal="center"/>
      <protection locked="0"/>
    </xf>
    <xf numFmtId="166" fontId="11" fillId="0" borderId="31" xfId="0" applyNumberFormat="1" applyFont="1" applyBorder="1" applyAlignment="1" applyProtection="1">
      <alignment horizontal="center"/>
      <protection locked="0"/>
    </xf>
    <xf numFmtId="166" fontId="11" fillId="0" borderId="38" xfId="0" applyNumberFormat="1" applyFont="1" applyBorder="1" applyAlignment="1" applyProtection="1">
      <alignment horizontal="center"/>
      <protection locked="0"/>
    </xf>
    <xf numFmtId="166" fontId="11" fillId="0" borderId="35" xfId="0" applyNumberFormat="1" applyFont="1" applyBorder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166" fontId="11" fillId="2" borderId="31" xfId="0" applyNumberFormat="1" applyFont="1" applyFill="1" applyBorder="1" applyAlignment="1" applyProtection="1">
      <alignment horizontal="center"/>
      <protection locked="0"/>
    </xf>
    <xf numFmtId="166" fontId="11" fillId="0" borderId="45" xfId="0" applyNumberFormat="1" applyFont="1" applyBorder="1" applyAlignment="1" applyProtection="1">
      <alignment horizontal="center"/>
      <protection locked="0"/>
    </xf>
    <xf numFmtId="166" fontId="12" fillId="4" borderId="16" xfId="0" applyNumberFormat="1" applyFont="1" applyFill="1" applyBorder="1" applyAlignment="1">
      <alignment horizontal="center"/>
    </xf>
    <xf numFmtId="166" fontId="12" fillId="4" borderId="44" xfId="0" applyNumberFormat="1" applyFont="1" applyFill="1" applyBorder="1" applyAlignment="1">
      <alignment horizontal="center"/>
    </xf>
    <xf numFmtId="166" fontId="11" fillId="0" borderId="39" xfId="0" applyNumberFormat="1" applyFont="1" applyBorder="1" applyAlignment="1" applyProtection="1">
      <alignment horizontal="center"/>
      <protection locked="0"/>
    </xf>
    <xf numFmtId="166" fontId="12" fillId="5" borderId="46" xfId="0" applyNumberFormat="1" applyFont="1" applyFill="1" applyBorder="1" applyAlignment="1">
      <alignment horizontal="right"/>
    </xf>
    <xf numFmtId="166" fontId="12" fillId="5" borderId="35" xfId="0" applyNumberFormat="1" applyFont="1" applyFill="1" applyBorder="1" applyAlignment="1">
      <alignment horizontal="right"/>
    </xf>
    <xf numFmtId="166" fontId="12" fillId="5" borderId="34" xfId="0" applyNumberFormat="1" applyFont="1" applyFill="1" applyBorder="1" applyAlignment="1">
      <alignment horizontal="right"/>
    </xf>
    <xf numFmtId="166" fontId="21" fillId="4" borderId="16" xfId="0" applyNumberFormat="1" applyFont="1" applyFill="1" applyBorder="1"/>
    <xf numFmtId="166" fontId="21" fillId="4" borderId="15" xfId="0" applyNumberFormat="1" applyFont="1" applyFill="1" applyBorder="1"/>
    <xf numFmtId="166" fontId="21" fillId="4" borderId="45" xfId="0" applyNumberFormat="1" applyFont="1" applyFill="1" applyBorder="1"/>
    <xf numFmtId="0" fontId="24" fillId="3" borderId="0" xfId="0" applyFont="1" applyFill="1"/>
    <xf numFmtId="0" fontId="24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166" fontId="0" fillId="5" borderId="4" xfId="0" applyNumberFormat="1" applyFill="1" applyBorder="1" applyProtection="1">
      <protection locked="0"/>
    </xf>
    <xf numFmtId="166" fontId="0" fillId="5" borderId="13" xfId="0" applyNumberFormat="1" applyFill="1" applyBorder="1" applyProtection="1">
      <protection locked="0"/>
    </xf>
    <xf numFmtId="0" fontId="11" fillId="3" borderId="48" xfId="0" applyFont="1" applyFill="1" applyBorder="1" applyAlignment="1">
      <alignment vertical="center"/>
    </xf>
    <xf numFmtId="0" fontId="17" fillId="3" borderId="49" xfId="0" applyFont="1" applyFill="1" applyBorder="1" applyAlignment="1">
      <alignment horizontal="center" vertical="center"/>
    </xf>
    <xf numFmtId="0" fontId="17" fillId="3" borderId="50" xfId="0" applyFont="1" applyFill="1" applyBorder="1" applyAlignment="1">
      <alignment horizontal="center" vertical="center"/>
    </xf>
    <xf numFmtId="0" fontId="11" fillId="3" borderId="47" xfId="0" applyFont="1" applyFill="1" applyBorder="1" applyAlignment="1">
      <alignment vertical="center"/>
    </xf>
    <xf numFmtId="0" fontId="11" fillId="3" borderId="29" xfId="0" applyFont="1" applyFill="1" applyBorder="1" applyAlignment="1">
      <alignment vertical="center"/>
    </xf>
    <xf numFmtId="8" fontId="11" fillId="3" borderId="4" xfId="0" applyNumberFormat="1" applyFont="1" applyFill="1" applyBorder="1" applyAlignment="1">
      <alignment horizontal="center" vertical="center"/>
    </xf>
    <xf numFmtId="8" fontId="11" fillId="3" borderId="15" xfId="0" applyNumberFormat="1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vertical="center"/>
    </xf>
    <xf numFmtId="8" fontId="11" fillId="3" borderId="13" xfId="0" applyNumberFormat="1" applyFont="1" applyFill="1" applyBorder="1" applyAlignment="1">
      <alignment horizontal="center" vertical="center"/>
    </xf>
    <xf numFmtId="8" fontId="11" fillId="3" borderId="45" xfId="0" applyNumberFormat="1" applyFont="1" applyFill="1" applyBorder="1" applyAlignment="1">
      <alignment horizontal="center" vertical="center"/>
    </xf>
    <xf numFmtId="0" fontId="11" fillId="4" borderId="0" xfId="0" applyFont="1" applyFill="1" applyAlignment="1" applyProtection="1">
      <alignment horizontal="center" wrapText="1"/>
      <protection locked="0"/>
    </xf>
    <xf numFmtId="166" fontId="11" fillId="5" borderId="4" xfId="0" applyNumberFormat="1" applyFont="1" applyFill="1" applyBorder="1" applyAlignment="1">
      <alignment horizontal="left"/>
    </xf>
    <xf numFmtId="166" fontId="11" fillId="5" borderId="15" xfId="0" applyNumberFormat="1" applyFont="1" applyFill="1" applyBorder="1" applyAlignment="1">
      <alignment horizontal="left"/>
    </xf>
    <xf numFmtId="0" fontId="11" fillId="2" borderId="1" xfId="0" applyFont="1" applyFill="1" applyBorder="1" applyAlignment="1" applyProtection="1">
      <alignment horizontal="left"/>
      <protection locked="0"/>
    </xf>
    <xf numFmtId="0" fontId="11" fillId="2" borderId="2" xfId="0" applyFont="1" applyFill="1" applyBorder="1" applyAlignment="1" applyProtection="1">
      <alignment horizontal="left"/>
      <protection locked="0"/>
    </xf>
    <xf numFmtId="0" fontId="12" fillId="2" borderId="1" xfId="0" applyFont="1" applyFill="1" applyBorder="1" applyAlignment="1" applyProtection="1">
      <alignment horizontal="left"/>
      <protection locked="0"/>
    </xf>
    <xf numFmtId="0" fontId="12" fillId="4" borderId="19" xfId="0" applyFont="1" applyFill="1" applyBorder="1" applyAlignment="1" applyProtection="1">
      <alignment horizontal="right"/>
      <protection locked="0"/>
    </xf>
    <xf numFmtId="166" fontId="11" fillId="0" borderId="41" xfId="0" applyNumberFormat="1" applyFont="1" applyBorder="1" applyAlignment="1" applyProtection="1">
      <alignment horizontal="center"/>
      <protection locked="0"/>
    </xf>
    <xf numFmtId="0" fontId="28" fillId="0" borderId="0" xfId="0" applyFont="1" applyProtection="1">
      <protection locked="0"/>
    </xf>
    <xf numFmtId="0" fontId="28" fillId="3" borderId="0" xfId="0" applyFont="1" applyFill="1" applyAlignment="1">
      <alignment vertical="center"/>
    </xf>
    <xf numFmtId="44" fontId="11" fillId="0" borderId="11" xfId="0" applyNumberFormat="1" applyFont="1" applyBorder="1" applyAlignment="1">
      <alignment horizontal="center"/>
    </xf>
    <xf numFmtId="166" fontId="0" fillId="0" borderId="0" xfId="0" applyNumberFormat="1" applyProtection="1">
      <protection locked="0"/>
    </xf>
    <xf numFmtId="0" fontId="21" fillId="3" borderId="26" xfId="0" applyFont="1" applyFill="1" applyBorder="1" applyProtection="1">
      <protection locked="0"/>
    </xf>
    <xf numFmtId="0" fontId="14" fillId="3" borderId="21" xfId="0" applyFont="1" applyFill="1" applyBorder="1" applyAlignment="1" applyProtection="1">
      <alignment wrapText="1"/>
      <protection locked="0"/>
    </xf>
    <xf numFmtId="0" fontId="21" fillId="3" borderId="17" xfId="0" applyFont="1" applyFill="1" applyBorder="1" applyProtection="1">
      <protection locked="0"/>
    </xf>
    <xf numFmtId="2" fontId="11" fillId="0" borderId="4" xfId="28" applyNumberFormat="1" applyFont="1" applyFill="1" applyBorder="1" applyAlignment="1" applyProtection="1">
      <alignment horizontal="center"/>
      <protection locked="0"/>
    </xf>
    <xf numFmtId="0" fontId="28" fillId="0" borderId="26" xfId="0" applyFont="1" applyBorder="1"/>
    <xf numFmtId="164" fontId="28" fillId="0" borderId="26" xfId="0" applyNumberFormat="1" applyFont="1" applyBorder="1" applyAlignment="1">
      <alignment horizontal="center"/>
    </xf>
    <xf numFmtId="8" fontId="28" fillId="0" borderId="0" xfId="0" applyNumberFormat="1" applyFont="1" applyProtection="1">
      <protection locked="0"/>
    </xf>
    <xf numFmtId="9" fontId="28" fillId="0" borderId="0" xfId="28" applyFont="1" applyFill="1" applyBorder="1" applyAlignment="1">
      <alignment horizontal="center"/>
    </xf>
    <xf numFmtId="9" fontId="28" fillId="0" borderId="0" xfId="28" applyFont="1" applyFill="1" applyBorder="1" applyAlignment="1" applyProtection="1">
      <protection locked="0"/>
    </xf>
    <xf numFmtId="0" fontId="11" fillId="0" borderId="0" xfId="0" applyFont="1" applyAlignment="1">
      <alignment horizontal="left" vertical="top" wrapText="1"/>
    </xf>
    <xf numFmtId="164" fontId="28" fillId="0" borderId="0" xfId="0" applyNumberFormat="1" applyFont="1" applyAlignment="1">
      <alignment horizont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top"/>
    </xf>
    <xf numFmtId="0" fontId="11" fillId="0" borderId="0" xfId="0" applyFont="1" applyAlignment="1" applyProtection="1">
      <alignment horizontal="center"/>
      <protection locked="0" hidden="1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8" fontId="11" fillId="0" borderId="0" xfId="0" applyNumberFormat="1" applyFont="1" applyAlignment="1">
      <alignment horizontal="center" vertical="center"/>
    </xf>
    <xf numFmtId="166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166" fontId="11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166" fontId="12" fillId="0" borderId="0" xfId="0" applyNumberFormat="1" applyFont="1" applyAlignment="1">
      <alignment horizontal="right"/>
    </xf>
    <xf numFmtId="165" fontId="27" fillId="0" borderId="0" xfId="0" applyNumberFormat="1" applyFont="1" applyAlignment="1" applyProtection="1">
      <alignment horizontal="right"/>
      <protection locked="0"/>
    </xf>
    <xf numFmtId="166" fontId="21" fillId="0" borderId="0" xfId="0" applyNumberFormat="1" applyFont="1"/>
    <xf numFmtId="0" fontId="12" fillId="0" borderId="28" xfId="0" applyFont="1" applyBorder="1" applyAlignment="1">
      <alignment horizontal="center" wrapText="1"/>
    </xf>
    <xf numFmtId="166" fontId="0" fillId="5" borderId="10" xfId="0" applyNumberFormat="1" applyFill="1" applyBorder="1" applyProtection="1">
      <protection locked="0"/>
    </xf>
    <xf numFmtId="166" fontId="0" fillId="5" borderId="45" xfId="0" applyNumberFormat="1" applyFill="1" applyBorder="1" applyProtection="1">
      <protection locked="0"/>
    </xf>
    <xf numFmtId="0" fontId="12" fillId="4" borderId="11" xfId="0" applyFont="1" applyFill="1" applyBorder="1" applyAlignment="1">
      <alignment horizontal="center" vertical="center" wrapText="1"/>
    </xf>
    <xf numFmtId="4" fontId="12" fillId="4" borderId="11" xfId="0" applyNumberFormat="1" applyFont="1" applyFill="1" applyBorder="1" applyAlignment="1">
      <alignment horizontal="center" vertical="center" wrapText="1"/>
    </xf>
    <xf numFmtId="0" fontId="12" fillId="4" borderId="11" xfId="0" applyFont="1" applyFill="1" applyBorder="1" applyAlignment="1" applyProtection="1">
      <alignment horizontal="center" vertical="center" wrapText="1"/>
      <protection locked="0"/>
    </xf>
    <xf numFmtId="0" fontId="12" fillId="4" borderId="31" xfId="0" applyFont="1" applyFill="1" applyBorder="1" applyAlignment="1">
      <alignment horizontal="center" vertical="center" wrapText="1"/>
    </xf>
    <xf numFmtId="0" fontId="28" fillId="0" borderId="25" xfId="0" applyFont="1" applyBorder="1" applyProtection="1">
      <protection locked="0"/>
    </xf>
    <xf numFmtId="0" fontId="28" fillId="0" borderId="26" xfId="0" applyFont="1" applyBorder="1" applyProtection="1">
      <protection locked="0"/>
    </xf>
    <xf numFmtId="0" fontId="28" fillId="0" borderId="27" xfId="0" applyFont="1" applyBorder="1" applyProtection="1">
      <protection locked="0"/>
    </xf>
    <xf numFmtId="0" fontId="28" fillId="0" borderId="28" xfId="0" applyFont="1" applyBorder="1" applyProtection="1">
      <protection locked="0"/>
    </xf>
    <xf numFmtId="0" fontId="28" fillId="0" borderId="41" xfId="0" applyFont="1" applyBorder="1" applyProtection="1">
      <protection locked="0"/>
    </xf>
    <xf numFmtId="0" fontId="28" fillId="0" borderId="24" xfId="0" applyFont="1" applyBorder="1" applyProtection="1">
      <protection locked="0"/>
    </xf>
    <xf numFmtId="0" fontId="28" fillId="0" borderId="17" xfId="0" applyFont="1" applyBorder="1" applyProtection="1">
      <protection locked="0"/>
    </xf>
    <xf numFmtId="0" fontId="28" fillId="0" borderId="28" xfId="0" applyFont="1" applyBorder="1"/>
    <xf numFmtId="0" fontId="28" fillId="3" borderId="28" xfId="0" applyFont="1" applyFill="1" applyBorder="1" applyAlignment="1">
      <alignment vertical="center"/>
    </xf>
    <xf numFmtId="0" fontId="28" fillId="0" borderId="21" xfId="0" applyFont="1" applyBorder="1" applyProtection="1">
      <protection locked="0"/>
    </xf>
    <xf numFmtId="8" fontId="28" fillId="0" borderId="26" xfId="0" applyNumberFormat="1" applyFont="1" applyBorder="1" applyProtection="1">
      <protection locked="0"/>
    </xf>
    <xf numFmtId="9" fontId="28" fillId="0" borderId="26" xfId="28" applyFont="1" applyFill="1" applyBorder="1" applyAlignment="1">
      <alignment horizontal="center"/>
    </xf>
    <xf numFmtId="4" fontId="0" fillId="3" borderId="0" xfId="0" applyNumberFormat="1" applyFill="1" applyProtection="1">
      <protection locked="0"/>
    </xf>
    <xf numFmtId="166" fontId="12" fillId="4" borderId="51" xfId="0" applyNumberFormat="1" applyFont="1" applyFill="1" applyBorder="1" applyAlignment="1" applyProtection="1">
      <alignment horizontal="right"/>
      <protection locked="0"/>
    </xf>
    <xf numFmtId="166" fontId="11" fillId="4" borderId="59" xfId="0" applyNumberFormat="1" applyFont="1" applyFill="1" applyBorder="1" applyAlignment="1">
      <alignment horizontal="center"/>
    </xf>
    <xf numFmtId="0" fontId="29" fillId="3" borderId="0" xfId="30" applyFont="1" applyFill="1" applyAlignment="1">
      <alignment horizontal="right"/>
    </xf>
    <xf numFmtId="0" fontId="9" fillId="3" borderId="0" xfId="30" applyFill="1"/>
    <xf numFmtId="0" fontId="30" fillId="3" borderId="0" xfId="30" applyFont="1" applyFill="1"/>
    <xf numFmtId="0" fontId="29" fillId="3" borderId="0" xfId="30" applyFont="1" applyFill="1" applyAlignment="1">
      <alignment horizontal="center"/>
    </xf>
    <xf numFmtId="0" fontId="31" fillId="3" borderId="0" xfId="30" applyFont="1" applyFill="1" applyAlignment="1">
      <alignment horizontal="center"/>
    </xf>
    <xf numFmtId="0" fontId="29" fillId="3" borderId="0" xfId="30" applyFont="1" applyFill="1"/>
    <xf numFmtId="169" fontId="31" fillId="3" borderId="0" xfId="30" applyNumberFormat="1" applyFont="1" applyFill="1"/>
    <xf numFmtId="0" fontId="32" fillId="3" borderId="0" xfId="30" applyFont="1" applyFill="1"/>
    <xf numFmtId="0" fontId="33" fillId="3" borderId="0" xfId="30" applyFont="1" applyFill="1" applyAlignment="1">
      <alignment horizontal="left"/>
    </xf>
    <xf numFmtId="39" fontId="31" fillId="3" borderId="0" xfId="30" applyNumberFormat="1" applyFont="1" applyFill="1"/>
    <xf numFmtId="0" fontId="9" fillId="3" borderId="0" xfId="30" applyFill="1" applyAlignment="1">
      <alignment horizontal="right"/>
    </xf>
    <xf numFmtId="0" fontId="9" fillId="3" borderId="14" xfId="30" applyFill="1" applyBorder="1"/>
    <xf numFmtId="0" fontId="9" fillId="3" borderId="0" xfId="30" applyFill="1" applyAlignment="1">
      <alignment horizontal="left"/>
    </xf>
    <xf numFmtId="37" fontId="31" fillId="3" borderId="14" xfId="30" applyNumberFormat="1" applyFont="1" applyFill="1" applyBorder="1"/>
    <xf numFmtId="37" fontId="31" fillId="3" borderId="1" xfId="30" applyNumberFormat="1" applyFont="1" applyFill="1" applyBorder="1"/>
    <xf numFmtId="0" fontId="11" fillId="3" borderId="0" xfId="0" applyFont="1" applyFill="1" applyProtection="1">
      <protection locked="0"/>
    </xf>
    <xf numFmtId="0" fontId="21" fillId="3" borderId="0" xfId="0" applyFont="1" applyFill="1" applyAlignment="1" applyProtection="1">
      <alignment horizontal="right"/>
      <protection locked="0"/>
    </xf>
    <xf numFmtId="4" fontId="21" fillId="3" borderId="0" xfId="0" applyNumberFormat="1" applyFont="1" applyFill="1" applyAlignment="1" applyProtection="1">
      <alignment horizontal="right"/>
      <protection locked="0"/>
    </xf>
    <xf numFmtId="0" fontId="12" fillId="3" borderId="0" xfId="0" applyFont="1" applyFill="1" applyAlignment="1" applyProtection="1">
      <alignment wrapText="1"/>
      <protection locked="0"/>
    </xf>
    <xf numFmtId="0" fontId="12" fillId="3" borderId="21" xfId="0" applyFont="1" applyFill="1" applyBorder="1" applyAlignment="1" applyProtection="1">
      <alignment wrapText="1"/>
      <protection locked="0"/>
    </xf>
    <xf numFmtId="166" fontId="11" fillId="0" borderId="11" xfId="0" applyNumberFormat="1" applyFont="1" applyBorder="1" applyAlignment="1">
      <alignment horizontal="center"/>
    </xf>
    <xf numFmtId="166" fontId="11" fillId="0" borderId="34" xfId="0" applyNumberFormat="1" applyFont="1" applyBorder="1" applyAlignment="1" applyProtection="1">
      <alignment horizontal="center"/>
      <protection locked="0"/>
    </xf>
    <xf numFmtId="39" fontId="31" fillId="3" borderId="14" xfId="30" applyNumberFormat="1" applyFont="1" applyFill="1" applyBorder="1"/>
    <xf numFmtId="169" fontId="31" fillId="3" borderId="14" xfId="30" applyNumberFormat="1" applyFont="1" applyFill="1" applyBorder="1" applyAlignment="1">
      <alignment horizontal="center"/>
    </xf>
    <xf numFmtId="0" fontId="9" fillId="3" borderId="0" xfId="30" applyFill="1" applyAlignment="1">
      <alignment horizontal="center"/>
    </xf>
    <xf numFmtId="0" fontId="11" fillId="2" borderId="4" xfId="0" applyFont="1" applyFill="1" applyBorder="1" applyAlignment="1" applyProtection="1">
      <alignment horizontal="center"/>
      <protection locked="0"/>
    </xf>
    <xf numFmtId="0" fontId="7" fillId="3" borderId="0" xfId="30" applyFont="1" applyFill="1" applyAlignment="1">
      <alignment horizontal="left"/>
    </xf>
    <xf numFmtId="0" fontId="7" fillId="3" borderId="0" xfId="30" applyFont="1" applyFill="1"/>
    <xf numFmtId="166" fontId="11" fillId="5" borderId="2" xfId="1" applyNumberFormat="1" applyFont="1" applyFill="1" applyBorder="1" applyAlignment="1" applyProtection="1">
      <alignment horizontal="center"/>
    </xf>
    <xf numFmtId="166" fontId="11" fillId="5" borderId="52" xfId="1" applyNumberFormat="1" applyFont="1" applyFill="1" applyBorder="1" applyAlignment="1" applyProtection="1">
      <alignment horizontal="center"/>
    </xf>
    <xf numFmtId="4" fontId="11" fillId="4" borderId="61" xfId="0" applyNumberFormat="1" applyFont="1" applyFill="1" applyBorder="1" applyAlignment="1" applyProtection="1">
      <alignment horizontal="center" wrapText="1"/>
      <protection locked="0"/>
    </xf>
    <xf numFmtId="166" fontId="0" fillId="5" borderId="61" xfId="0" applyNumberFormat="1" applyFill="1" applyBorder="1" applyProtection="1">
      <protection locked="0"/>
    </xf>
    <xf numFmtId="166" fontId="0" fillId="5" borderId="62" xfId="0" applyNumberFormat="1" applyFill="1" applyBorder="1" applyProtection="1">
      <protection locked="0"/>
    </xf>
    <xf numFmtId="166" fontId="0" fillId="5" borderId="60" xfId="0" applyNumberFormat="1" applyFill="1" applyBorder="1" applyProtection="1">
      <protection locked="0"/>
    </xf>
    <xf numFmtId="0" fontId="6" fillId="3" borderId="0" xfId="30" applyFont="1" applyFill="1"/>
    <xf numFmtId="0" fontId="31" fillId="0" borderId="14" xfId="30" applyFont="1" applyBorder="1" applyAlignment="1">
      <alignment horizontal="center"/>
    </xf>
    <xf numFmtId="0" fontId="9" fillId="3" borderId="6" xfId="30" applyFill="1" applyBorder="1"/>
    <xf numFmtId="37" fontId="31" fillId="3" borderId="0" xfId="30" applyNumberFormat="1" applyFont="1" applyFill="1"/>
    <xf numFmtId="0" fontId="7" fillId="3" borderId="0" xfId="30" applyFont="1" applyFill="1" applyAlignment="1">
      <alignment horizontal="right"/>
    </xf>
    <xf numFmtId="37" fontId="31" fillId="3" borderId="6" xfId="30" applyNumberFormat="1" applyFont="1" applyFill="1" applyBorder="1"/>
    <xf numFmtId="0" fontId="33" fillId="3" borderId="6" xfId="30" applyFont="1" applyFill="1" applyBorder="1" applyAlignment="1">
      <alignment horizontal="left"/>
    </xf>
    <xf numFmtId="0" fontId="4" fillId="3" borderId="0" xfId="30" applyFont="1" applyFill="1"/>
    <xf numFmtId="14" fontId="31" fillId="3" borderId="14" xfId="30" applyNumberFormat="1" applyFont="1" applyFill="1" applyBorder="1" applyAlignment="1">
      <alignment horizontal="center"/>
    </xf>
    <xf numFmtId="14" fontId="9" fillId="3" borderId="0" xfId="30" applyNumberFormat="1" applyFill="1" applyAlignment="1">
      <alignment horizontal="center"/>
    </xf>
    <xf numFmtId="0" fontId="21" fillId="3" borderId="26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center" wrapText="1"/>
      <protection locked="0"/>
    </xf>
    <xf numFmtId="0" fontId="11" fillId="4" borderId="4" xfId="0" applyFont="1" applyFill="1" applyBorder="1" applyAlignment="1" applyProtection="1">
      <alignment horizontal="center" wrapText="1"/>
      <protection locked="0"/>
    </xf>
    <xf numFmtId="0" fontId="21" fillId="3" borderId="0" xfId="0" applyFont="1" applyFill="1" applyProtection="1">
      <protection locked="0"/>
    </xf>
    <xf numFmtId="0" fontId="21" fillId="3" borderId="21" xfId="0" applyFont="1" applyFill="1" applyBorder="1" applyProtection="1">
      <protection locked="0"/>
    </xf>
    <xf numFmtId="166" fontId="11" fillId="3" borderId="15" xfId="0" applyNumberFormat="1" applyFont="1" applyFill="1" applyBorder="1" applyAlignment="1">
      <alignment horizontal="center"/>
    </xf>
    <xf numFmtId="0" fontId="33" fillId="3" borderId="0" xfId="30" applyFont="1" applyFill="1"/>
    <xf numFmtId="37" fontId="9" fillId="3" borderId="0" xfId="30" applyNumberFormat="1" applyFill="1"/>
    <xf numFmtId="0" fontId="3" fillId="3" borderId="0" xfId="30" applyFont="1" applyFill="1"/>
    <xf numFmtId="166" fontId="11" fillId="3" borderId="25" xfId="1" applyNumberFormat="1" applyFont="1" applyFill="1" applyBorder="1" applyAlignment="1" applyProtection="1">
      <protection locked="0"/>
    </xf>
    <xf numFmtId="0" fontId="0" fillId="3" borderId="26" xfId="0" applyFill="1" applyBorder="1" applyProtection="1">
      <protection locked="0"/>
    </xf>
    <xf numFmtId="0" fontId="9" fillId="3" borderId="43" xfId="30" applyFill="1" applyBorder="1"/>
    <xf numFmtId="0" fontId="9" fillId="3" borderId="3" xfId="30" applyFill="1" applyBorder="1"/>
    <xf numFmtId="37" fontId="31" fillId="3" borderId="8" xfId="30" applyNumberFormat="1" applyFont="1" applyFill="1" applyBorder="1"/>
    <xf numFmtId="0" fontId="9" fillId="3" borderId="7" xfId="30" applyFill="1" applyBorder="1"/>
    <xf numFmtId="0" fontId="8" fillId="3" borderId="14" xfId="30" applyFont="1" applyFill="1" applyBorder="1"/>
    <xf numFmtId="0" fontId="9" fillId="3" borderId="6" xfId="30" applyFill="1" applyBorder="1" applyAlignment="1">
      <alignment horizontal="right"/>
    </xf>
    <xf numFmtId="39" fontId="31" fillId="3" borderId="9" xfId="30" applyNumberFormat="1" applyFont="1" applyFill="1" applyBorder="1"/>
    <xf numFmtId="39" fontId="31" fillId="3" borderId="2" xfId="30" applyNumberFormat="1" applyFont="1" applyFill="1" applyBorder="1"/>
    <xf numFmtId="0" fontId="9" fillId="3" borderId="9" xfId="30" applyFill="1" applyBorder="1"/>
    <xf numFmtId="0" fontId="9" fillId="6" borderId="43" xfId="30" applyFill="1" applyBorder="1"/>
    <xf numFmtId="0" fontId="5" fillId="6" borderId="6" xfId="30" applyFont="1" applyFill="1" applyBorder="1" applyAlignment="1">
      <alignment horizontal="right"/>
    </xf>
    <xf numFmtId="0" fontId="33" fillId="6" borderId="6" xfId="30" applyFont="1" applyFill="1" applyBorder="1" applyAlignment="1">
      <alignment horizontal="left"/>
    </xf>
    <xf numFmtId="39" fontId="31" fillId="6" borderId="2" xfId="30" applyNumberFormat="1" applyFont="1" applyFill="1" applyBorder="1"/>
    <xf numFmtId="0" fontId="7" fillId="6" borderId="3" xfId="30" applyFont="1" applyFill="1" applyBorder="1"/>
    <xf numFmtId="0" fontId="7" fillId="6" borderId="0" xfId="30" applyFont="1" applyFill="1" applyAlignment="1">
      <alignment horizontal="left"/>
    </xf>
    <xf numFmtId="0" fontId="33" fillId="6" borderId="0" xfId="30" applyFont="1" applyFill="1" applyAlignment="1">
      <alignment horizontal="left"/>
    </xf>
    <xf numFmtId="37" fontId="31" fillId="6" borderId="8" xfId="30" applyNumberFormat="1" applyFont="1" applyFill="1" applyBorder="1"/>
    <xf numFmtId="0" fontId="9" fillId="6" borderId="7" xfId="30" applyFill="1" applyBorder="1"/>
    <xf numFmtId="0" fontId="8" fillId="6" borderId="14" xfId="30" applyFont="1" applyFill="1" applyBorder="1"/>
    <xf numFmtId="0" fontId="33" fillId="6" borderId="14" xfId="30" applyFont="1" applyFill="1" applyBorder="1" applyAlignment="1">
      <alignment horizontal="left"/>
    </xf>
    <xf numFmtId="37" fontId="31" fillId="6" borderId="2" xfId="30" applyNumberFormat="1" applyFont="1" applyFill="1" applyBorder="1"/>
    <xf numFmtId="0" fontId="7" fillId="6" borderId="7" xfId="30" applyFont="1" applyFill="1" applyBorder="1"/>
    <xf numFmtId="0" fontId="9" fillId="6" borderId="14" xfId="30" applyFill="1" applyBorder="1" applyAlignment="1">
      <alignment horizontal="left"/>
    </xf>
    <xf numFmtId="0" fontId="9" fillId="3" borderId="2" xfId="30" applyFill="1" applyBorder="1"/>
    <xf numFmtId="49" fontId="33" fillId="3" borderId="3" xfId="30" applyNumberFormat="1" applyFont="1" applyFill="1" applyBorder="1" applyAlignment="1">
      <alignment horizontal="left"/>
    </xf>
    <xf numFmtId="0" fontId="33" fillId="3" borderId="18" xfId="30" applyFont="1" applyFill="1" applyBorder="1" applyAlignment="1">
      <alignment horizontal="left"/>
    </xf>
    <xf numFmtId="0" fontId="32" fillId="3" borderId="43" xfId="30" applyFont="1" applyFill="1" applyBorder="1"/>
    <xf numFmtId="0" fontId="5" fillId="3" borderId="6" xfId="30" applyFont="1" applyFill="1" applyBorder="1" applyAlignment="1">
      <alignment horizontal="right"/>
    </xf>
    <xf numFmtId="0" fontId="32" fillId="3" borderId="3" xfId="30" applyFont="1" applyFill="1" applyBorder="1"/>
    <xf numFmtId="0" fontId="5" fillId="3" borderId="0" xfId="30" applyFont="1" applyFill="1" applyAlignment="1">
      <alignment horizontal="right"/>
    </xf>
    <xf numFmtId="0" fontId="28" fillId="0" borderId="21" xfId="0" applyFont="1" applyBorder="1"/>
    <xf numFmtId="0" fontId="28" fillId="0" borderId="56" xfId="0" applyFont="1" applyBorder="1" applyProtection="1">
      <protection locked="0"/>
    </xf>
    <xf numFmtId="0" fontId="12" fillId="4" borderId="4" xfId="0" applyFont="1" applyFill="1" applyBorder="1" applyAlignment="1" applyProtection="1">
      <alignment horizontal="center" vertical="center" wrapText="1"/>
      <protection locked="0"/>
    </xf>
    <xf numFmtId="166" fontId="12" fillId="4" borderId="63" xfId="0" applyNumberFormat="1" applyFont="1" applyFill="1" applyBorder="1" applyProtection="1">
      <protection locked="0"/>
    </xf>
    <xf numFmtId="0" fontId="2" fillId="3" borderId="0" xfId="30" applyFont="1" applyFill="1"/>
    <xf numFmtId="0" fontId="11" fillId="6" borderId="0" xfId="0" applyFont="1" applyFill="1" applyProtection="1">
      <protection locked="0"/>
    </xf>
    <xf numFmtId="8" fontId="11" fillId="3" borderId="64" xfId="0" applyNumberFormat="1" applyFont="1" applyFill="1" applyBorder="1" applyAlignment="1">
      <alignment horizontal="center" vertical="center"/>
    </xf>
    <xf numFmtId="8" fontId="11" fillId="3" borderId="65" xfId="0" applyNumberFormat="1" applyFont="1" applyFill="1" applyBorder="1" applyAlignment="1">
      <alignment horizontal="center" vertical="center"/>
    </xf>
    <xf numFmtId="0" fontId="11" fillId="0" borderId="0" xfId="0" applyFont="1" applyProtection="1">
      <protection locked="0" hidden="1"/>
    </xf>
    <xf numFmtId="0" fontId="12" fillId="0" borderId="4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66" fontId="12" fillId="5" borderId="15" xfId="0" applyNumberFormat="1" applyFont="1" applyFill="1" applyBorder="1" applyAlignment="1" applyProtection="1">
      <alignment horizontal="right"/>
      <protection locked="0"/>
    </xf>
    <xf numFmtId="165" fontId="12" fillId="0" borderId="1" xfId="0" applyNumberFormat="1" applyFont="1" applyBorder="1" applyAlignment="1" applyProtection="1">
      <alignment horizontal="left" vertical="center" wrapText="1"/>
      <protection locked="0"/>
    </xf>
    <xf numFmtId="0" fontId="12" fillId="0" borderId="4" xfId="0" applyFont="1" applyBorder="1" applyAlignment="1" applyProtection="1">
      <alignment horizontal="right" vertical="center" wrapText="1"/>
      <protection locked="0"/>
    </xf>
    <xf numFmtId="166" fontId="12" fillId="5" borderId="44" xfId="0" applyNumberFormat="1" applyFont="1" applyFill="1" applyBorder="1" applyAlignment="1" applyProtection="1">
      <alignment horizontal="right"/>
      <protection locked="0"/>
    </xf>
    <xf numFmtId="9" fontId="11" fillId="3" borderId="18" xfId="0" applyNumberFormat="1" applyFont="1" applyFill="1" applyBorder="1" applyAlignment="1" applyProtection="1">
      <alignment horizontal="left" vertical="center"/>
      <protection locked="0"/>
    </xf>
    <xf numFmtId="165" fontId="11" fillId="3" borderId="18" xfId="0" applyNumberFormat="1" applyFont="1" applyFill="1" applyBorder="1" applyAlignment="1" applyProtection="1">
      <alignment horizontal="left" vertical="center"/>
      <protection locked="0"/>
    </xf>
    <xf numFmtId="0" fontId="11" fillId="3" borderId="28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horizontal="left" vertical="center"/>
      <protection locked="0"/>
    </xf>
    <xf numFmtId="14" fontId="11" fillId="3" borderId="0" xfId="0" applyNumberFormat="1" applyFont="1" applyFill="1" applyAlignment="1" applyProtection="1">
      <alignment horizontal="center"/>
      <protection locked="0"/>
    </xf>
    <xf numFmtId="0" fontId="22" fillId="3" borderId="28" xfId="0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11" fillId="3" borderId="0" xfId="0" applyFont="1" applyFill="1" applyAlignment="1" applyProtection="1">
      <alignment horizontal="center"/>
      <protection locked="0"/>
    </xf>
    <xf numFmtId="0" fontId="36" fillId="3" borderId="0" xfId="0" applyFont="1" applyFill="1" applyAlignment="1" applyProtection="1">
      <alignment horizontal="left" vertical="center"/>
      <protection locked="0"/>
    </xf>
    <xf numFmtId="2" fontId="11" fillId="6" borderId="4" xfId="28" applyNumberFormat="1" applyFont="1" applyFill="1" applyBorder="1" applyAlignment="1" applyProtection="1">
      <alignment horizontal="center"/>
      <protection locked="0"/>
    </xf>
    <xf numFmtId="0" fontId="11" fillId="2" borderId="28" xfId="0" applyFont="1" applyFill="1" applyBorder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1" fillId="2" borderId="18" xfId="0" applyFont="1" applyFill="1" applyBorder="1" applyAlignment="1" applyProtection="1">
      <alignment horizontal="left"/>
      <protection locked="0"/>
    </xf>
    <xf numFmtId="166" fontId="11" fillId="2" borderId="41" xfId="0" applyNumberFormat="1" applyFont="1" applyFill="1" applyBorder="1" applyAlignment="1" applyProtection="1">
      <alignment horizontal="center"/>
      <protection locked="0"/>
    </xf>
    <xf numFmtId="166" fontId="11" fillId="2" borderId="45" xfId="0" applyNumberFormat="1" applyFont="1" applyFill="1" applyBorder="1" applyAlignment="1" applyProtection="1">
      <alignment horizontal="center"/>
      <protection locked="0"/>
    </xf>
    <xf numFmtId="167" fontId="11" fillId="5" borderId="67" xfId="0" applyNumberFormat="1" applyFont="1" applyFill="1" applyBorder="1" applyAlignment="1" applyProtection="1">
      <alignment horizontal="center"/>
      <protection locked="0"/>
    </xf>
    <xf numFmtId="168" fontId="11" fillId="2" borderId="21" xfId="0" applyNumberFormat="1" applyFont="1" applyFill="1" applyBorder="1" applyProtection="1">
      <protection locked="0"/>
    </xf>
    <xf numFmtId="168" fontId="11" fillId="2" borderId="17" xfId="0" applyNumberFormat="1" applyFont="1" applyFill="1" applyBorder="1" applyProtection="1">
      <protection locked="0"/>
    </xf>
    <xf numFmtId="166" fontId="12" fillId="5" borderId="67" xfId="0" applyNumberFormat="1" applyFont="1" applyFill="1" applyBorder="1" applyAlignment="1">
      <alignment horizontal="center"/>
    </xf>
    <xf numFmtId="166" fontId="12" fillId="5" borderId="67" xfId="0" applyNumberFormat="1" applyFont="1" applyFill="1" applyBorder="1" applyAlignment="1">
      <alignment horizontal="left"/>
    </xf>
    <xf numFmtId="0" fontId="38" fillId="3" borderId="0" xfId="0" applyFont="1" applyFill="1" applyAlignment="1">
      <alignment horizontal="center" vertical="center"/>
    </xf>
    <xf numFmtId="0" fontId="38" fillId="3" borderId="41" xfId="0" applyFont="1" applyFill="1" applyBorder="1" applyAlignment="1">
      <alignment horizontal="center" vertical="center"/>
    </xf>
    <xf numFmtId="8" fontId="37" fillId="3" borderId="0" xfId="0" applyNumberFormat="1" applyFont="1" applyFill="1" applyAlignment="1">
      <alignment horizontal="center" vertical="center"/>
    </xf>
    <xf numFmtId="8" fontId="37" fillId="3" borderId="41" xfId="0" applyNumberFormat="1" applyFont="1" applyFill="1" applyBorder="1" applyAlignment="1">
      <alignment horizontal="center" vertical="center"/>
    </xf>
    <xf numFmtId="8" fontId="37" fillId="3" borderId="21" xfId="0" applyNumberFormat="1" applyFont="1" applyFill="1" applyBorder="1" applyAlignment="1">
      <alignment horizontal="center" vertical="center"/>
    </xf>
    <xf numFmtId="8" fontId="37" fillId="3" borderId="17" xfId="0" applyNumberFormat="1" applyFont="1" applyFill="1" applyBorder="1" applyAlignment="1">
      <alignment horizontal="center" vertical="center"/>
    </xf>
    <xf numFmtId="0" fontId="35" fillId="0" borderId="0" xfId="0" applyFont="1" applyProtection="1">
      <protection locked="0"/>
    </xf>
    <xf numFmtId="0" fontId="11" fillId="0" borderId="21" xfId="0" applyFont="1" applyBorder="1" applyAlignment="1" applyProtection="1">
      <alignment horizontal="center"/>
      <protection locked="0"/>
    </xf>
    <xf numFmtId="2" fontId="11" fillId="0" borderId="68" xfId="28" applyNumberFormat="1" applyFont="1" applyFill="1" applyBorder="1" applyAlignment="1" applyProtection="1">
      <alignment horizontal="center"/>
      <protection locked="0"/>
    </xf>
    <xf numFmtId="166" fontId="34" fillId="4" borderId="16" xfId="0" applyNumberFormat="1" applyFont="1" applyFill="1" applyBorder="1" applyAlignment="1">
      <alignment horizontal="center"/>
    </xf>
    <xf numFmtId="0" fontId="25" fillId="3" borderId="28" xfId="0" applyFont="1" applyFill="1" applyBorder="1" applyAlignment="1" applyProtection="1">
      <alignment horizontal="center" vertical="center" textRotation="90"/>
      <protection locked="0"/>
    </xf>
    <xf numFmtId="168" fontId="11" fillId="2" borderId="40" xfId="0" applyNumberFormat="1" applyFont="1" applyFill="1" applyBorder="1" applyProtection="1">
      <protection locked="0"/>
    </xf>
    <xf numFmtId="0" fontId="0" fillId="0" borderId="28" xfId="0" applyBorder="1" applyProtection="1">
      <protection locked="0"/>
    </xf>
    <xf numFmtId="0" fontId="37" fillId="3" borderId="0" xfId="0" applyFont="1" applyFill="1" applyAlignment="1">
      <alignment vertical="center"/>
    </xf>
    <xf numFmtId="0" fontId="37" fillId="3" borderId="21" xfId="0" applyFont="1" applyFill="1" applyBorder="1" applyAlignment="1">
      <alignment vertical="center"/>
    </xf>
    <xf numFmtId="0" fontId="21" fillId="3" borderId="28" xfId="0" applyFont="1" applyFill="1" applyBorder="1" applyAlignment="1" applyProtection="1">
      <alignment horizontal="right"/>
      <protection locked="0"/>
    </xf>
    <xf numFmtId="0" fontId="18" fillId="3" borderId="14" xfId="0" applyFont="1" applyFill="1" applyBorder="1" applyAlignment="1" applyProtection="1">
      <alignment horizontal="left"/>
      <protection locked="0"/>
    </xf>
    <xf numFmtId="0" fontId="21" fillId="3" borderId="24" xfId="0" applyFont="1" applyFill="1" applyBorder="1" applyAlignment="1" applyProtection="1">
      <alignment horizontal="right"/>
      <protection locked="0"/>
    </xf>
    <xf numFmtId="0" fontId="21" fillId="3" borderId="21" xfId="0" applyFont="1" applyFill="1" applyBorder="1" applyAlignment="1" applyProtection="1">
      <alignment horizontal="right"/>
      <protection locked="0"/>
    </xf>
    <xf numFmtId="0" fontId="18" fillId="3" borderId="0" xfId="0" applyFont="1" applyFill="1" applyAlignment="1" applyProtection="1">
      <alignment horizontal="left" wrapText="1"/>
      <protection locked="0"/>
    </xf>
    <xf numFmtId="0" fontId="18" fillId="3" borderId="21" xfId="0" applyFont="1" applyFill="1" applyBorder="1" applyAlignment="1" applyProtection="1">
      <alignment horizontal="left" wrapText="1"/>
      <protection locked="0"/>
    </xf>
    <xf numFmtId="168" fontId="11" fillId="2" borderId="23" xfId="0" applyNumberFormat="1" applyFont="1" applyFill="1" applyBorder="1" applyAlignment="1" applyProtection="1">
      <alignment horizontal="left"/>
      <protection locked="0"/>
    </xf>
    <xf numFmtId="44" fontId="11" fillId="0" borderId="5" xfId="0" applyNumberFormat="1" applyFont="1" applyBorder="1" applyAlignment="1" applyProtection="1">
      <alignment horizontal="center"/>
      <protection locked="0"/>
    </xf>
    <xf numFmtId="0" fontId="12" fillId="4" borderId="58" xfId="0" applyFont="1" applyFill="1" applyBorder="1" applyProtection="1">
      <protection locked="0"/>
    </xf>
    <xf numFmtId="0" fontId="12" fillId="4" borderId="22" xfId="0" applyFont="1" applyFill="1" applyBorder="1" applyProtection="1">
      <protection locked="0"/>
    </xf>
    <xf numFmtId="0" fontId="11" fillId="2" borderId="23" xfId="0" applyFont="1" applyFill="1" applyBorder="1" applyAlignment="1" applyProtection="1">
      <alignment horizontal="left"/>
      <protection locked="0"/>
    </xf>
    <xf numFmtId="0" fontId="11" fillId="2" borderId="32" xfId="0" applyFont="1" applyFill="1" applyBorder="1" applyAlignment="1" applyProtection="1">
      <alignment horizontal="left"/>
      <protection locked="0"/>
    </xf>
    <xf numFmtId="0" fontId="11" fillId="2" borderId="12" xfId="0" applyFont="1" applyFill="1" applyBorder="1" applyAlignment="1" applyProtection="1">
      <alignment horizontal="left"/>
      <protection locked="0"/>
    </xf>
    <xf numFmtId="0" fontId="11" fillId="2" borderId="52" xfId="0" applyFont="1" applyFill="1" applyBorder="1" applyAlignment="1" applyProtection="1">
      <alignment horizontal="left"/>
      <protection locked="0"/>
    </xf>
    <xf numFmtId="0" fontId="11" fillId="0" borderId="23" xfId="0" applyFont="1" applyBorder="1" applyProtection="1">
      <protection locked="0"/>
    </xf>
    <xf numFmtId="0" fontId="11" fillId="0" borderId="1" xfId="0" applyFont="1" applyBorder="1" applyProtection="1">
      <protection locked="0"/>
    </xf>
    <xf numFmtId="0" fontId="11" fillId="0" borderId="2" xfId="0" applyFont="1" applyBorder="1" applyProtection="1">
      <protection locked="0"/>
    </xf>
    <xf numFmtId="0" fontId="12" fillId="4" borderId="58" xfId="0" applyFont="1" applyFill="1" applyBorder="1" applyAlignment="1" applyProtection="1">
      <alignment horizontal="left"/>
      <protection locked="0"/>
    </xf>
    <xf numFmtId="0" fontId="12" fillId="4" borderId="22" xfId="0" applyFont="1" applyFill="1" applyBorder="1" applyAlignment="1" applyProtection="1">
      <alignment horizontal="left"/>
      <protection locked="0"/>
    </xf>
    <xf numFmtId="0" fontId="18" fillId="3" borderId="0" xfId="0" applyFont="1" applyFill="1" applyAlignment="1">
      <alignment horizontal="left" vertical="center"/>
    </xf>
    <xf numFmtId="0" fontId="21" fillId="3" borderId="25" xfId="0" applyFont="1" applyFill="1" applyBorder="1"/>
    <xf numFmtId="0" fontId="21" fillId="3" borderId="26" xfId="0" applyFont="1" applyFill="1" applyBorder="1"/>
    <xf numFmtId="0" fontId="21" fillId="3" borderId="28" xfId="0" applyFont="1" applyFill="1" applyBorder="1"/>
    <xf numFmtId="14" fontId="21" fillId="3" borderId="14" xfId="0" applyNumberFormat="1" applyFont="1" applyFill="1" applyBorder="1" applyAlignment="1" applyProtection="1">
      <alignment horizontal="center"/>
      <protection locked="0"/>
    </xf>
    <xf numFmtId="0" fontId="18" fillId="3" borderId="26" xfId="0" applyFont="1" applyFill="1" applyBorder="1"/>
    <xf numFmtId="14" fontId="21" fillId="3" borderId="0" xfId="0" applyNumberFormat="1" applyFont="1" applyFill="1" applyAlignment="1" applyProtection="1">
      <alignment horizontal="right"/>
      <protection locked="0"/>
    </xf>
    <xf numFmtId="0" fontId="0" fillId="0" borderId="0" xfId="0" applyAlignment="1">
      <alignment horizontal="center"/>
    </xf>
    <xf numFmtId="168" fontId="11" fillId="2" borderId="32" xfId="0" applyNumberFormat="1" applyFont="1" applyFill="1" applyBorder="1" applyAlignment="1" applyProtection="1">
      <alignment horizontal="center"/>
      <protection locked="0"/>
    </xf>
    <xf numFmtId="168" fontId="11" fillId="2" borderId="12" xfId="0" applyNumberFormat="1" applyFont="1" applyFill="1" applyBorder="1" applyAlignment="1" applyProtection="1">
      <alignment horizontal="center"/>
      <protection locked="0"/>
    </xf>
    <xf numFmtId="0" fontId="25" fillId="4" borderId="42" xfId="0" applyFont="1" applyFill="1" applyBorder="1" applyAlignment="1" applyProtection="1">
      <alignment horizontal="center" vertical="center" textRotation="90"/>
      <protection locked="0"/>
    </xf>
    <xf numFmtId="0" fontId="25" fillId="4" borderId="56" xfId="0" applyFont="1" applyFill="1" applyBorder="1" applyAlignment="1" applyProtection="1">
      <alignment horizontal="center" vertical="center" textRotation="90"/>
      <protection locked="0"/>
    </xf>
    <xf numFmtId="0" fontId="25" fillId="4" borderId="54" xfId="0" applyFont="1" applyFill="1" applyBorder="1" applyAlignment="1" applyProtection="1">
      <alignment horizontal="center" vertical="center" textRotation="90"/>
      <protection locked="0"/>
    </xf>
    <xf numFmtId="0" fontId="37" fillId="3" borderId="0" xfId="0" applyFont="1" applyFill="1" applyAlignment="1">
      <alignment horizontal="center" vertical="center" wrapText="1"/>
    </xf>
    <xf numFmtId="0" fontId="37" fillId="3" borderId="41" xfId="0" applyFont="1" applyFill="1" applyBorder="1" applyAlignment="1">
      <alignment horizontal="center" vertical="center" wrapText="1"/>
    </xf>
    <xf numFmtId="0" fontId="37" fillId="3" borderId="26" xfId="0" applyFont="1" applyFill="1" applyBorder="1" applyAlignment="1" applyProtection="1">
      <alignment horizontal="center" vertical="center"/>
      <protection locked="0" hidden="1"/>
    </xf>
    <xf numFmtId="0" fontId="37" fillId="3" borderId="27" xfId="0" applyFont="1" applyFill="1" applyBorder="1" applyAlignment="1" applyProtection="1">
      <alignment horizontal="center" vertical="center"/>
      <protection locked="0" hidden="1"/>
    </xf>
    <xf numFmtId="166" fontId="34" fillId="4" borderId="22" xfId="0" applyNumberFormat="1" applyFont="1" applyFill="1" applyBorder="1" applyAlignment="1" applyProtection="1">
      <alignment horizontal="right"/>
      <protection locked="0"/>
    </xf>
    <xf numFmtId="0" fontId="0" fillId="3" borderId="21" xfId="0" applyFill="1" applyBorder="1" applyProtection="1">
      <protection locked="0"/>
    </xf>
    <xf numFmtId="44" fontId="11" fillId="0" borderId="5" xfId="0" applyNumberFormat="1" applyFont="1" applyBorder="1" applyAlignment="1" applyProtection="1">
      <alignment horizontal="left"/>
      <protection locked="0"/>
    </xf>
    <xf numFmtId="0" fontId="21" fillId="3" borderId="0" xfId="0" applyFont="1" applyFill="1"/>
    <xf numFmtId="166" fontId="34" fillId="4" borderId="40" xfId="0" applyNumberFormat="1" applyFont="1" applyFill="1" applyBorder="1" applyAlignment="1" applyProtection="1">
      <alignment horizontal="right"/>
      <protection locked="0"/>
    </xf>
    <xf numFmtId="166" fontId="34" fillId="4" borderId="69" xfId="0" applyNumberFormat="1" applyFont="1" applyFill="1" applyBorder="1" applyAlignment="1" applyProtection="1">
      <alignment horizontal="right"/>
      <protection locked="0"/>
    </xf>
    <xf numFmtId="0" fontId="12" fillId="4" borderId="70" xfId="0" applyFont="1" applyFill="1" applyBorder="1" applyProtection="1">
      <protection locked="0"/>
    </xf>
    <xf numFmtId="0" fontId="12" fillId="4" borderId="40" xfId="0" applyFont="1" applyFill="1" applyBorder="1" applyProtection="1">
      <protection locked="0"/>
    </xf>
    <xf numFmtId="0" fontId="0" fillId="0" borderId="26" xfId="0" applyBorder="1" applyAlignment="1">
      <alignment horizontal="center"/>
    </xf>
    <xf numFmtId="0" fontId="12" fillId="4" borderId="23" xfId="0" applyFont="1" applyFill="1" applyBorder="1" applyAlignment="1">
      <alignment horizontal="center" vertical="center" wrapText="1"/>
    </xf>
    <xf numFmtId="0" fontId="18" fillId="3" borderId="0" xfId="0" applyFont="1" applyFill="1"/>
    <xf numFmtId="0" fontId="18" fillId="3" borderId="21" xfId="0" applyFont="1" applyFill="1" applyBorder="1" applyAlignment="1">
      <alignment horizontal="left" vertical="top"/>
    </xf>
    <xf numFmtId="0" fontId="12" fillId="4" borderId="5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 applyProtection="1">
      <alignment horizontal="left" wrapText="1"/>
      <protection locked="0"/>
    </xf>
    <xf numFmtId="0" fontId="0" fillId="0" borderId="71" xfId="0" applyBorder="1" applyProtection="1">
      <protection locked="0"/>
    </xf>
    <xf numFmtId="0" fontId="34" fillId="0" borderId="70" xfId="0" applyFont="1" applyBorder="1" applyAlignment="1" applyProtection="1">
      <alignment horizontal="center" vertical="center"/>
      <protection locked="0"/>
    </xf>
    <xf numFmtId="166" fontId="34" fillId="4" borderId="71" xfId="0" applyNumberFormat="1" applyFont="1" applyFill="1" applyBorder="1" applyAlignment="1">
      <alignment horizontal="center" vertical="center"/>
    </xf>
    <xf numFmtId="0" fontId="0" fillId="0" borderId="70" xfId="0" applyBorder="1" applyProtection="1">
      <protection locked="0"/>
    </xf>
    <xf numFmtId="0" fontId="0" fillId="0" borderId="40" xfId="0" applyBorder="1" applyProtection="1">
      <protection locked="0"/>
    </xf>
    <xf numFmtId="0" fontId="0" fillId="3" borderId="26" xfId="0" applyFill="1" applyBorder="1" applyAlignment="1" applyProtection="1">
      <alignment horizontal="center"/>
      <protection locked="0"/>
    </xf>
    <xf numFmtId="0" fontId="25" fillId="4" borderId="25" xfId="0" applyFont="1" applyFill="1" applyBorder="1" applyAlignment="1">
      <alignment horizontal="center" vertical="center" textRotation="90" wrapText="1"/>
    </xf>
    <xf numFmtId="0" fontId="25" fillId="4" borderId="27" xfId="0" applyFont="1" applyFill="1" applyBorder="1" applyAlignment="1">
      <alignment horizontal="center" vertical="center" textRotation="90" wrapText="1"/>
    </xf>
    <xf numFmtId="0" fontId="25" fillId="4" borderId="28" xfId="0" applyFont="1" applyFill="1" applyBorder="1" applyAlignment="1">
      <alignment horizontal="center" vertical="center" textRotation="90" wrapText="1"/>
    </xf>
    <xf numFmtId="0" fontId="25" fillId="4" borderId="41" xfId="0" applyFont="1" applyFill="1" applyBorder="1" applyAlignment="1">
      <alignment horizontal="center" vertical="center" textRotation="90" wrapText="1"/>
    </xf>
    <xf numFmtId="0" fontId="25" fillId="4" borderId="24" xfId="0" applyFont="1" applyFill="1" applyBorder="1" applyAlignment="1">
      <alignment horizontal="center" vertical="center" textRotation="90" wrapText="1"/>
    </xf>
    <xf numFmtId="0" fontId="25" fillId="4" borderId="17" xfId="0" applyFont="1" applyFill="1" applyBorder="1" applyAlignment="1">
      <alignment horizontal="center" vertical="center" textRotation="90" wrapText="1"/>
    </xf>
    <xf numFmtId="0" fontId="11" fillId="0" borderId="25" xfId="0" applyFont="1" applyBorder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0" fontId="11" fillId="0" borderId="36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166" fontId="25" fillId="0" borderId="53" xfId="0" applyNumberFormat="1" applyFont="1" applyBorder="1"/>
    <xf numFmtId="166" fontId="25" fillId="0" borderId="27" xfId="0" applyNumberFormat="1" applyFont="1" applyBorder="1"/>
    <xf numFmtId="166" fontId="25" fillId="0" borderId="7" xfId="0" applyNumberFormat="1" applyFont="1" applyBorder="1"/>
    <xf numFmtId="166" fontId="25" fillId="0" borderId="37" xfId="0" applyNumberFormat="1" applyFont="1" applyBorder="1"/>
    <xf numFmtId="0" fontId="25" fillId="4" borderId="42" xfId="0" applyFont="1" applyFill="1" applyBorder="1" applyAlignment="1">
      <alignment horizontal="center" vertical="center" textRotation="90"/>
    </xf>
    <xf numFmtId="0" fontId="25" fillId="4" borderId="56" xfId="0" applyFont="1" applyFill="1" applyBorder="1" applyAlignment="1">
      <alignment horizontal="center" vertical="center" textRotation="90"/>
    </xf>
    <xf numFmtId="0" fontId="25" fillId="4" borderId="54" xfId="0" applyFont="1" applyFill="1" applyBorder="1" applyAlignment="1">
      <alignment horizontal="center" vertical="center" textRotation="90"/>
    </xf>
    <xf numFmtId="0" fontId="26" fillId="0" borderId="51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55" xfId="0" applyFont="1" applyBorder="1" applyAlignment="1">
      <alignment horizontal="center" vertical="center"/>
    </xf>
    <xf numFmtId="0" fontId="11" fillId="0" borderId="32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52" xfId="0" applyFont="1" applyBorder="1" applyAlignment="1">
      <alignment vertical="center"/>
    </xf>
    <xf numFmtId="9" fontId="25" fillId="5" borderId="57" xfId="28" applyFont="1" applyFill="1" applyBorder="1" applyAlignment="1" applyProtection="1"/>
    <xf numFmtId="9" fontId="25" fillId="5" borderId="39" xfId="28" applyFont="1" applyFill="1" applyBorder="1" applyAlignment="1" applyProtection="1"/>
    <xf numFmtId="0" fontId="21" fillId="0" borderId="5" xfId="0" applyFont="1" applyBorder="1" applyAlignment="1">
      <alignment horizontal="right"/>
    </xf>
    <xf numFmtId="0" fontId="21" fillId="0" borderId="1" xfId="0" applyFont="1" applyBorder="1" applyAlignment="1">
      <alignment horizontal="right"/>
    </xf>
    <xf numFmtId="0" fontId="21" fillId="0" borderId="2" xfId="0" applyFont="1" applyBorder="1" applyAlignment="1">
      <alignment horizontal="right"/>
    </xf>
    <xf numFmtId="0" fontId="0" fillId="3" borderId="0" xfId="0" applyFill="1" applyAlignment="1" applyProtection="1">
      <alignment horizontal="center"/>
      <protection locked="0"/>
    </xf>
    <xf numFmtId="0" fontId="0" fillId="3" borderId="41" xfId="0" applyFill="1" applyBorder="1" applyAlignment="1" applyProtection="1">
      <alignment horizontal="center"/>
      <protection locked="0"/>
    </xf>
    <xf numFmtId="0" fontId="21" fillId="0" borderId="57" xfId="0" applyFont="1" applyBorder="1" applyAlignment="1" applyProtection="1">
      <alignment horizontal="right"/>
      <protection locked="0"/>
    </xf>
    <xf numFmtId="0" fontId="21" fillId="0" borderId="12" xfId="0" applyFont="1" applyBorder="1" applyAlignment="1" applyProtection="1">
      <alignment horizontal="right"/>
      <protection locked="0"/>
    </xf>
    <xf numFmtId="0" fontId="21" fillId="0" borderId="52" xfId="0" applyFont="1" applyBorder="1" applyAlignment="1" applyProtection="1">
      <alignment horizontal="right"/>
      <protection locked="0"/>
    </xf>
    <xf numFmtId="0" fontId="21" fillId="3" borderId="28" xfId="0" applyFont="1" applyFill="1" applyBorder="1" applyProtection="1">
      <protection locked="0"/>
    </xf>
    <xf numFmtId="0" fontId="21" fillId="3" borderId="0" xfId="0" applyFont="1" applyFill="1" applyProtection="1">
      <protection locked="0"/>
    </xf>
    <xf numFmtId="0" fontId="18" fillId="3" borderId="6" xfId="0" applyFont="1" applyFill="1" applyBorder="1" applyProtection="1">
      <protection locked="0"/>
    </xf>
    <xf numFmtId="0" fontId="18" fillId="3" borderId="14" xfId="0" applyFont="1" applyFill="1" applyBorder="1" applyProtection="1">
      <protection locked="0"/>
    </xf>
    <xf numFmtId="14" fontId="21" fillId="3" borderId="0" xfId="0" applyNumberFormat="1" applyFont="1" applyFill="1" applyAlignment="1" applyProtection="1">
      <alignment horizontal="right"/>
      <protection locked="0"/>
    </xf>
    <xf numFmtId="14" fontId="21" fillId="3" borderId="0" xfId="0" applyNumberFormat="1" applyFont="1" applyFill="1" applyAlignment="1" applyProtection="1">
      <alignment horizontal="center"/>
      <protection locked="0"/>
    </xf>
    <xf numFmtId="14" fontId="21" fillId="3" borderId="14" xfId="0" applyNumberFormat="1" applyFont="1" applyFill="1" applyBorder="1" applyAlignment="1" applyProtection="1">
      <alignment horizontal="center"/>
      <protection locked="0"/>
    </xf>
    <xf numFmtId="0" fontId="21" fillId="3" borderId="24" xfId="0" applyFont="1" applyFill="1" applyBorder="1" applyProtection="1">
      <protection locked="0"/>
    </xf>
    <xf numFmtId="0" fontId="21" fillId="3" borderId="21" xfId="0" applyFont="1" applyFill="1" applyBorder="1" applyProtection="1">
      <protection locked="0"/>
    </xf>
    <xf numFmtId="0" fontId="18" fillId="3" borderId="6" xfId="0" applyFont="1" applyFill="1" applyBorder="1" applyAlignment="1" applyProtection="1">
      <alignment wrapText="1"/>
      <protection locked="0"/>
    </xf>
    <xf numFmtId="0" fontId="18" fillId="3" borderId="0" xfId="0" applyFont="1" applyFill="1" applyAlignment="1" applyProtection="1">
      <alignment wrapText="1"/>
      <protection locked="0"/>
    </xf>
    <xf numFmtId="0" fontId="18" fillId="3" borderId="21" xfId="0" applyFont="1" applyFill="1" applyBorder="1" applyAlignment="1" applyProtection="1">
      <alignment wrapText="1"/>
      <protection locked="0"/>
    </xf>
    <xf numFmtId="14" fontId="21" fillId="3" borderId="6" xfId="0" applyNumberFormat="1" applyFont="1" applyFill="1" applyBorder="1" applyAlignment="1" applyProtection="1">
      <alignment horizontal="center"/>
      <protection locked="0"/>
    </xf>
    <xf numFmtId="0" fontId="18" fillId="3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left" vertical="top"/>
    </xf>
    <xf numFmtId="0" fontId="21" fillId="3" borderId="25" xfId="0" applyFont="1" applyFill="1" applyBorder="1"/>
    <xf numFmtId="0" fontId="21" fillId="3" borderId="26" xfId="0" applyFont="1" applyFill="1" applyBorder="1"/>
    <xf numFmtId="0" fontId="21" fillId="3" borderId="28" xfId="0" applyFont="1" applyFill="1" applyBorder="1"/>
    <xf numFmtId="0" fontId="21" fillId="3" borderId="0" xfId="0" applyFont="1" applyFill="1"/>
    <xf numFmtId="0" fontId="18" fillId="3" borderId="26" xfId="0" applyFont="1" applyFill="1" applyBorder="1"/>
    <xf numFmtId="0" fontId="18" fillId="3" borderId="14" xfId="0" applyFont="1" applyFill="1" applyBorder="1"/>
    <xf numFmtId="0" fontId="21" fillId="3" borderId="26" xfId="0" applyFont="1" applyFill="1" applyBorder="1" applyAlignment="1" applyProtection="1">
      <alignment horizontal="center"/>
      <protection locked="0"/>
    </xf>
    <xf numFmtId="0" fontId="21" fillId="3" borderId="27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 applyProtection="1">
      <alignment horizontal="center"/>
      <protection locked="0"/>
    </xf>
    <xf numFmtId="0" fontId="21" fillId="3" borderId="41" xfId="0" applyFont="1" applyFill="1" applyBorder="1" applyAlignment="1" applyProtection="1">
      <alignment horizontal="center"/>
      <protection locked="0"/>
    </xf>
    <xf numFmtId="0" fontId="11" fillId="3" borderId="25" xfId="0" applyFont="1" applyFill="1" applyBorder="1" applyAlignment="1" applyProtection="1">
      <alignment horizontal="center" vertical="center"/>
      <protection locked="0" hidden="1"/>
    </xf>
    <xf numFmtId="0" fontId="11" fillId="3" borderId="26" xfId="0" applyFont="1" applyFill="1" applyBorder="1" applyAlignment="1" applyProtection="1">
      <alignment horizontal="center" vertical="center"/>
      <protection locked="0" hidden="1"/>
    </xf>
    <xf numFmtId="0" fontId="11" fillId="3" borderId="27" xfId="0" applyFont="1" applyFill="1" applyBorder="1" applyAlignment="1" applyProtection="1">
      <alignment horizontal="center" vertical="center"/>
      <protection locked="0" hidden="1"/>
    </xf>
    <xf numFmtId="0" fontId="11" fillId="3" borderId="24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0" fillId="3" borderId="21" xfId="0" applyFill="1" applyBorder="1" applyProtection="1">
      <protection locked="0"/>
    </xf>
    <xf numFmtId="0" fontId="25" fillId="4" borderId="42" xfId="0" applyFont="1" applyFill="1" applyBorder="1" applyAlignment="1" applyProtection="1">
      <alignment horizontal="center" vertical="center" textRotation="90"/>
      <protection locked="0"/>
    </xf>
    <xf numFmtId="0" fontId="25" fillId="4" borderId="56" xfId="0" applyFont="1" applyFill="1" applyBorder="1" applyAlignment="1" applyProtection="1">
      <alignment horizontal="center" vertical="center" textRotation="90"/>
      <protection locked="0"/>
    </xf>
    <xf numFmtId="0" fontId="25" fillId="4" borderId="54" xfId="0" applyFont="1" applyFill="1" applyBorder="1" applyAlignment="1" applyProtection="1">
      <alignment horizontal="center" vertical="center" textRotation="90"/>
      <protection locked="0"/>
    </xf>
    <xf numFmtId="0" fontId="12" fillId="4" borderId="14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left"/>
      <protection locked="0"/>
    </xf>
    <xf numFmtId="44" fontId="11" fillId="0" borderId="5" xfId="0" applyNumberFormat="1" applyFont="1" applyBorder="1" applyAlignment="1" applyProtection="1">
      <alignment horizontal="left"/>
      <protection locked="0"/>
    </xf>
    <xf numFmtId="44" fontId="11" fillId="0" borderId="2" xfId="0" applyNumberFormat="1" applyFont="1" applyBorder="1" applyAlignment="1" applyProtection="1">
      <alignment horizontal="left"/>
      <protection locked="0"/>
    </xf>
    <xf numFmtId="0" fontId="11" fillId="2" borderId="2" xfId="0" applyFont="1" applyFill="1" applyBorder="1" applyAlignment="1" applyProtection="1">
      <alignment horizontal="left"/>
      <protection locked="0"/>
    </xf>
    <xf numFmtId="0" fontId="11" fillId="2" borderId="23" xfId="0" applyFont="1" applyFill="1" applyBorder="1" applyAlignment="1" applyProtection="1">
      <alignment horizontal="left"/>
      <protection locked="0"/>
    </xf>
    <xf numFmtId="0" fontId="12" fillId="4" borderId="22" xfId="0" applyFont="1" applyFill="1" applyBorder="1" applyAlignment="1" applyProtection="1">
      <alignment horizontal="left"/>
      <protection locked="0"/>
    </xf>
    <xf numFmtId="0" fontId="11" fillId="2" borderId="12" xfId="0" applyFont="1" applyFill="1" applyBorder="1" applyAlignment="1" applyProtection="1">
      <alignment horizontal="left"/>
      <protection locked="0"/>
    </xf>
    <xf numFmtId="0" fontId="11" fillId="2" borderId="52" xfId="0" applyFont="1" applyFill="1" applyBorder="1" applyAlignment="1" applyProtection="1">
      <alignment horizontal="left"/>
      <protection locked="0"/>
    </xf>
    <xf numFmtId="0" fontId="12" fillId="4" borderId="14" xfId="0" applyFont="1" applyFill="1" applyBorder="1" applyAlignment="1" applyProtection="1">
      <alignment horizontal="left"/>
      <protection locked="0"/>
    </xf>
    <xf numFmtId="0" fontId="11" fillId="3" borderId="23" xfId="0" applyFont="1" applyFill="1" applyBorder="1" applyAlignment="1" applyProtection="1">
      <alignment horizontal="left"/>
      <protection locked="0"/>
    </xf>
    <xf numFmtId="0" fontId="11" fillId="3" borderId="1" xfId="0" applyFont="1" applyFill="1" applyBorder="1" applyAlignment="1" applyProtection="1">
      <alignment horizontal="left"/>
      <protection locked="0"/>
    </xf>
    <xf numFmtId="0" fontId="11" fillId="3" borderId="2" xfId="0" applyFont="1" applyFill="1" applyBorder="1" applyAlignment="1" applyProtection="1">
      <alignment horizontal="left"/>
      <protection locked="0"/>
    </xf>
    <xf numFmtId="0" fontId="11" fillId="0" borderId="6" xfId="0" applyFont="1" applyBorder="1" applyProtection="1">
      <protection locked="0"/>
    </xf>
    <xf numFmtId="0" fontId="0" fillId="0" borderId="6" xfId="0" applyBorder="1" applyProtection="1">
      <protection locked="0"/>
    </xf>
    <xf numFmtId="0" fontId="11" fillId="2" borderId="32" xfId="0" applyFont="1" applyFill="1" applyBorder="1" applyAlignment="1" applyProtection="1">
      <alignment horizontal="left"/>
      <protection locked="0"/>
    </xf>
    <xf numFmtId="0" fontId="0" fillId="3" borderId="21" xfId="0" applyFill="1" applyBorder="1" applyAlignment="1" applyProtection="1">
      <alignment horizontal="center"/>
      <protection locked="0"/>
    </xf>
    <xf numFmtId="0" fontId="12" fillId="4" borderId="22" xfId="0" applyFont="1" applyFill="1" applyBorder="1" applyProtection="1">
      <protection locked="0"/>
    </xf>
    <xf numFmtId="0" fontId="11" fillId="2" borderId="1" xfId="0" applyFont="1" applyFill="1" applyBorder="1" applyAlignment="1" applyProtection="1">
      <alignment wrapText="1"/>
      <protection locked="0"/>
    </xf>
    <xf numFmtId="0" fontId="11" fillId="2" borderId="2" xfId="0" applyFont="1" applyFill="1" applyBorder="1" applyAlignment="1" applyProtection="1">
      <alignment wrapText="1"/>
      <protection locked="0"/>
    </xf>
    <xf numFmtId="0" fontId="12" fillId="3" borderId="40" xfId="0" applyFont="1" applyFill="1" applyBorder="1" applyAlignment="1" applyProtection="1">
      <alignment horizontal="center"/>
      <protection locked="0"/>
    </xf>
    <xf numFmtId="0" fontId="13" fillId="4" borderId="22" xfId="0" applyFont="1" applyFill="1" applyBorder="1" applyAlignment="1" applyProtection="1">
      <alignment horizontal="left"/>
      <protection locked="0"/>
    </xf>
    <xf numFmtId="0" fontId="23" fillId="4" borderId="22" xfId="0" applyFont="1" applyFill="1" applyBorder="1" applyAlignment="1" applyProtection="1">
      <alignment horizontal="left"/>
      <protection locked="0"/>
    </xf>
    <xf numFmtId="0" fontId="17" fillId="3" borderId="33" xfId="0" applyFont="1" applyFill="1" applyBorder="1" applyAlignment="1" applyProtection="1">
      <alignment horizontal="right"/>
      <protection locked="0"/>
    </xf>
    <xf numFmtId="0" fontId="17" fillId="3" borderId="28" xfId="0" applyFont="1" applyFill="1" applyBorder="1" applyAlignment="1" applyProtection="1">
      <alignment horizontal="right"/>
      <protection locked="0"/>
    </xf>
    <xf numFmtId="0" fontId="17" fillId="3" borderId="24" xfId="0" applyFont="1" applyFill="1" applyBorder="1" applyAlignment="1" applyProtection="1">
      <alignment horizontal="right"/>
      <protection locked="0"/>
    </xf>
    <xf numFmtId="0" fontId="11" fillId="4" borderId="5" xfId="0" applyFont="1" applyFill="1" applyBorder="1" applyAlignment="1" applyProtection="1">
      <alignment horizontal="center" wrapText="1"/>
      <protection locked="0"/>
    </xf>
    <xf numFmtId="0" fontId="11" fillId="4" borderId="2" xfId="0" applyFont="1" applyFill="1" applyBorder="1" applyAlignment="1" applyProtection="1">
      <alignment horizontal="center" wrapText="1"/>
      <protection locked="0"/>
    </xf>
    <xf numFmtId="0" fontId="11" fillId="4" borderId="4" xfId="0" applyFont="1" applyFill="1" applyBorder="1" applyAlignment="1" applyProtection="1">
      <alignment horizontal="center" wrapText="1"/>
      <protection locked="0"/>
    </xf>
    <xf numFmtId="0" fontId="11" fillId="0" borderId="5" xfId="0" applyFont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11" fillId="0" borderId="2" xfId="0" applyFont="1" applyBorder="1" applyAlignment="1" applyProtection="1">
      <alignment horizontal="left"/>
      <protection locked="0"/>
    </xf>
    <xf numFmtId="166" fontId="11" fillId="0" borderId="4" xfId="1" applyNumberFormat="1" applyFont="1" applyFill="1" applyBorder="1" applyAlignment="1" applyProtection="1">
      <protection locked="0"/>
    </xf>
    <xf numFmtId="166" fontId="11" fillId="5" borderId="5" xfId="1" applyNumberFormat="1" applyFont="1" applyFill="1" applyBorder="1" applyAlignment="1" applyProtection="1">
      <protection locked="0"/>
    </xf>
    <xf numFmtId="166" fontId="11" fillId="5" borderId="35" xfId="1" applyNumberFormat="1" applyFont="1" applyFill="1" applyBorder="1" applyAlignment="1" applyProtection="1">
      <protection locked="0"/>
    </xf>
    <xf numFmtId="0" fontId="11" fillId="4" borderId="35" xfId="0" applyFont="1" applyFill="1" applyBorder="1" applyAlignment="1" applyProtection="1">
      <alignment horizontal="center" wrapText="1"/>
      <protection locked="0"/>
    </xf>
    <xf numFmtId="166" fontId="11" fillId="0" borderId="5" xfId="1" applyNumberFormat="1" applyFont="1" applyFill="1" applyBorder="1" applyAlignment="1" applyProtection="1">
      <protection locked="0"/>
    </xf>
    <xf numFmtId="166" fontId="11" fillId="0" borderId="2" xfId="1" applyNumberFormat="1" applyFont="1" applyFill="1" applyBorder="1" applyAlignment="1" applyProtection="1">
      <protection locked="0"/>
    </xf>
    <xf numFmtId="166" fontId="11" fillId="0" borderId="10" xfId="1" applyNumberFormat="1" applyFont="1" applyFill="1" applyBorder="1" applyAlignment="1" applyProtection="1">
      <protection locked="0"/>
    </xf>
    <xf numFmtId="166" fontId="11" fillId="5" borderId="43" xfId="1" applyNumberFormat="1" applyFont="1" applyFill="1" applyBorder="1" applyAlignment="1" applyProtection="1">
      <protection locked="0"/>
    </xf>
    <xf numFmtId="166" fontId="11" fillId="5" borderId="38" xfId="1" applyNumberFormat="1" applyFont="1" applyFill="1" applyBorder="1" applyAlignment="1" applyProtection="1">
      <protection locked="0"/>
    </xf>
    <xf numFmtId="166" fontId="11" fillId="5" borderId="57" xfId="1" applyNumberFormat="1" applyFont="1" applyFill="1" applyBorder="1" applyAlignment="1" applyProtection="1">
      <protection locked="0"/>
    </xf>
    <xf numFmtId="166" fontId="11" fillId="5" borderId="39" xfId="1" applyNumberFormat="1" applyFont="1" applyFill="1" applyBorder="1" applyAlignment="1" applyProtection="1">
      <protection locked="0"/>
    </xf>
    <xf numFmtId="0" fontId="12" fillId="4" borderId="58" xfId="0" applyFont="1" applyFill="1" applyBorder="1" applyProtection="1">
      <protection locked="0"/>
    </xf>
    <xf numFmtId="0" fontId="12" fillId="4" borderId="22" xfId="0" applyFont="1" applyFill="1" applyBorder="1" applyAlignment="1" applyProtection="1">
      <alignment horizontal="right"/>
      <protection locked="0"/>
    </xf>
    <xf numFmtId="0" fontId="12" fillId="4" borderId="19" xfId="0" applyFont="1" applyFill="1" applyBorder="1" applyAlignment="1" applyProtection="1">
      <alignment horizontal="right"/>
      <protection locked="0"/>
    </xf>
    <xf numFmtId="0" fontId="21" fillId="0" borderId="20" xfId="0" applyFont="1" applyBorder="1" applyAlignment="1">
      <alignment horizontal="right"/>
    </xf>
    <xf numFmtId="0" fontId="21" fillId="0" borderId="22" xfId="0" applyFont="1" applyBorder="1" applyAlignment="1">
      <alignment horizontal="right"/>
    </xf>
    <xf numFmtId="0" fontId="21" fillId="0" borderId="19" xfId="0" applyFont="1" applyBorder="1" applyAlignment="1">
      <alignment horizontal="right"/>
    </xf>
    <xf numFmtId="0" fontId="21" fillId="0" borderId="5" xfId="0" applyFont="1" applyBorder="1" applyAlignment="1" applyProtection="1">
      <alignment horizontal="right"/>
      <protection locked="0"/>
    </xf>
    <xf numFmtId="0" fontId="21" fillId="0" borderId="1" xfId="0" applyFont="1" applyBorder="1" applyAlignment="1" applyProtection="1">
      <alignment horizontal="right"/>
      <protection locked="0"/>
    </xf>
    <xf numFmtId="0" fontId="21" fillId="0" borderId="2" xfId="0" applyFont="1" applyBorder="1" applyAlignment="1" applyProtection="1">
      <alignment horizontal="right"/>
      <protection locked="0"/>
    </xf>
    <xf numFmtId="0" fontId="12" fillId="0" borderId="5" xfId="0" applyFont="1" applyBorder="1" applyAlignment="1" applyProtection="1">
      <alignment horizontal="right" wrapText="1"/>
      <protection locked="0"/>
    </xf>
    <xf numFmtId="0" fontId="12" fillId="0" borderId="1" xfId="0" applyFont="1" applyBorder="1" applyAlignment="1" applyProtection="1">
      <alignment horizontal="right" wrapText="1"/>
      <protection locked="0"/>
    </xf>
    <xf numFmtId="0" fontId="12" fillId="0" borderId="2" xfId="0" applyFont="1" applyBorder="1" applyAlignment="1" applyProtection="1">
      <alignment horizontal="right" wrapText="1"/>
      <protection locked="0"/>
    </xf>
    <xf numFmtId="0" fontId="11" fillId="3" borderId="12" xfId="0" applyFont="1" applyFill="1" applyBorder="1" applyAlignment="1" applyProtection="1">
      <alignment horizontal="right"/>
      <protection locked="0"/>
    </xf>
    <xf numFmtId="0" fontId="11" fillId="3" borderId="52" xfId="0" applyFont="1" applyFill="1" applyBorder="1" applyAlignment="1" applyProtection="1">
      <alignment horizontal="right"/>
      <protection locked="0"/>
    </xf>
    <xf numFmtId="166" fontId="11" fillId="5" borderId="13" xfId="1" applyNumberFormat="1" applyFont="1" applyFill="1" applyBorder="1" applyAlignment="1" applyProtection="1">
      <protection locked="0"/>
    </xf>
    <xf numFmtId="0" fontId="0" fillId="3" borderId="40" xfId="0" applyFill="1" applyBorder="1" applyAlignment="1" applyProtection="1">
      <alignment horizontal="center"/>
      <protection locked="0"/>
    </xf>
    <xf numFmtId="0" fontId="11" fillId="3" borderId="25" xfId="0" applyFont="1" applyFill="1" applyBorder="1" applyAlignment="1" applyProtection="1">
      <alignment horizontal="center" vertical="center" wrapText="1"/>
      <protection locked="0"/>
    </xf>
    <xf numFmtId="0" fontId="11" fillId="3" borderId="26" xfId="0" applyFont="1" applyFill="1" applyBorder="1" applyAlignment="1" applyProtection="1">
      <alignment horizontal="center" vertical="center" wrapText="1"/>
      <protection locked="0"/>
    </xf>
    <xf numFmtId="0" fontId="11" fillId="3" borderId="51" xfId="0" applyFont="1" applyFill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>
      <alignment horizontal="right"/>
    </xf>
    <xf numFmtId="0" fontId="12" fillId="0" borderId="22" xfId="0" applyFont="1" applyBorder="1" applyAlignment="1">
      <alignment horizontal="right"/>
    </xf>
    <xf numFmtId="0" fontId="12" fillId="0" borderId="19" xfId="0" applyFont="1" applyBorder="1" applyAlignment="1">
      <alignment horizontal="right"/>
    </xf>
    <xf numFmtId="0" fontId="22" fillId="3" borderId="28" xfId="0" applyFont="1" applyFill="1" applyBorder="1" applyAlignment="1" applyProtection="1">
      <alignment horizontal="center" vertical="center"/>
      <protection locked="0"/>
    </xf>
    <xf numFmtId="0" fontId="22" fillId="3" borderId="0" xfId="0" applyFont="1" applyFill="1" applyAlignment="1" applyProtection="1">
      <alignment horizontal="center" vertical="center"/>
      <protection locked="0"/>
    </xf>
    <xf numFmtId="0" fontId="22" fillId="3" borderId="18" xfId="0" applyFont="1" applyFill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right"/>
      <protection locked="0"/>
    </xf>
    <xf numFmtId="0" fontId="12" fillId="0" borderId="1" xfId="0" applyFont="1" applyBorder="1" applyAlignment="1" applyProtection="1">
      <alignment horizontal="right"/>
      <protection locked="0"/>
    </xf>
    <xf numFmtId="0" fontId="12" fillId="0" borderId="2" xfId="0" applyFont="1" applyBorder="1" applyAlignment="1" applyProtection="1">
      <alignment horizontal="right"/>
      <protection locked="0"/>
    </xf>
    <xf numFmtId="0" fontId="11" fillId="0" borderId="53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5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12" fillId="3" borderId="3" xfId="0" applyFont="1" applyFill="1" applyBorder="1" applyAlignment="1">
      <alignment horizontal="right" vertical="center"/>
    </xf>
    <xf numFmtId="0" fontId="12" fillId="3" borderId="0" xfId="0" applyFont="1" applyFill="1" applyAlignment="1">
      <alignment horizontal="right" vertical="center"/>
    </xf>
    <xf numFmtId="0" fontId="12" fillId="3" borderId="18" xfId="0" applyFont="1" applyFill="1" applyBorder="1" applyAlignment="1">
      <alignment horizontal="right" vertical="center"/>
    </xf>
    <xf numFmtId="0" fontId="11" fillId="0" borderId="43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38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41" xfId="0" applyFont="1" applyBorder="1" applyAlignment="1">
      <alignment horizontal="left" vertical="top" wrapText="1"/>
    </xf>
    <xf numFmtId="0" fontId="11" fillId="0" borderId="66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33" fillId="3" borderId="3" xfId="30" applyFont="1" applyFill="1" applyBorder="1" applyAlignment="1">
      <alignment horizontal="left"/>
    </xf>
    <xf numFmtId="0" fontId="33" fillId="3" borderId="0" xfId="30" applyFont="1" applyFill="1" applyAlignment="1">
      <alignment horizontal="left"/>
    </xf>
    <xf numFmtId="0" fontId="33" fillId="3" borderId="9" xfId="30" applyFont="1" applyFill="1" applyBorder="1" applyAlignment="1">
      <alignment horizontal="left"/>
    </xf>
    <xf numFmtId="0" fontId="9" fillId="3" borderId="14" xfId="30" applyFill="1" applyBorder="1" applyAlignment="1">
      <alignment horizontal="center"/>
    </xf>
    <xf numFmtId="0" fontId="9" fillId="3" borderId="0" xfId="30" applyFill="1" applyAlignment="1">
      <alignment horizontal="center"/>
    </xf>
    <xf numFmtId="0" fontId="29" fillId="3" borderId="0" xfId="30" applyFont="1" applyFill="1" applyAlignment="1">
      <alignment horizontal="right"/>
    </xf>
    <xf numFmtId="0" fontId="32" fillId="3" borderId="0" xfId="30" applyFont="1" applyFill="1" applyAlignment="1">
      <alignment vertical="center" wrapText="1"/>
    </xf>
    <xf numFmtId="0" fontId="8" fillId="3" borderId="0" xfId="30" applyFont="1" applyFill="1"/>
    <xf numFmtId="0" fontId="9" fillId="3" borderId="0" xfId="30" applyFill="1"/>
    <xf numFmtId="0" fontId="9" fillId="3" borderId="14" xfId="30" applyFill="1" applyBorder="1"/>
    <xf numFmtId="0" fontId="33" fillId="3" borderId="18" xfId="30" applyFont="1" applyFill="1" applyBorder="1" applyAlignment="1">
      <alignment horizontal="left"/>
    </xf>
    <xf numFmtId="49" fontId="33" fillId="3" borderId="3" xfId="30" applyNumberFormat="1" applyFont="1" applyFill="1" applyBorder="1" applyAlignment="1">
      <alignment horizontal="left"/>
    </xf>
    <xf numFmtId="0" fontId="9" fillId="3" borderId="0" xfId="30" applyFill="1" applyAlignment="1">
      <alignment horizontal="right"/>
    </xf>
    <xf numFmtId="0" fontId="4" fillId="3" borderId="0" xfId="30" applyFont="1" applyFill="1" applyAlignment="1">
      <alignment horizontal="right"/>
    </xf>
  </cellXfs>
  <cellStyles count="32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Normal" xfId="0" builtinId="0"/>
    <cellStyle name="Normal 2" xfId="27" xr:uid="{00000000-0005-0000-0000-00001B000000}"/>
    <cellStyle name="Normal 3" xfId="29" xr:uid="{00000000-0005-0000-0000-00001C000000}"/>
    <cellStyle name="Normal 4" xfId="30" xr:uid="{00000000-0005-0000-0000-00001D000000}"/>
    <cellStyle name="Normal 5" xfId="31" xr:uid="{00000000-0005-0000-0000-00001E000000}"/>
    <cellStyle name="Percent" xfId="28" builtinId="5"/>
  </cellStyles>
  <dxfs count="7">
    <dxf>
      <numFmt numFmtId="170" formatCode="0.00##\%"/>
      <fill>
        <patternFill>
          <bgColor theme="0"/>
        </patternFill>
      </fill>
    </dxf>
    <dxf>
      <numFmt numFmtId="170" formatCode="0.00##\%"/>
      <fill>
        <patternFill>
          <bgColor theme="0"/>
        </patternFill>
      </fill>
    </dxf>
    <dxf>
      <numFmt numFmtId="170" formatCode="0.00##\%"/>
      <fill>
        <patternFill>
          <bgColor theme="0"/>
        </patternFill>
      </fill>
    </dxf>
    <dxf>
      <numFmt numFmtId="170" formatCode="0.00##\%"/>
      <fill>
        <patternFill>
          <bgColor theme="0"/>
        </patternFill>
      </fill>
    </dxf>
    <dxf>
      <numFmt numFmtId="170" formatCode="0.00##\%"/>
      <fill>
        <patternFill>
          <bgColor theme="0"/>
        </patternFill>
      </fill>
    </dxf>
    <dxf>
      <numFmt numFmtId="170" formatCode="0.00##\%"/>
      <fill>
        <patternFill>
          <bgColor theme="0"/>
        </patternFill>
      </fill>
    </dxf>
    <dxf>
      <numFmt numFmtId="170" formatCode="0.00##\%"/>
      <fill>
        <patternFill>
          <bgColor theme="0"/>
        </patternFill>
      </fill>
    </dxf>
  </dxfs>
  <tableStyles count="0" defaultTableStyle="TableStyleMedium9" defaultPivotStyle="PivotStyleLight16"/>
  <colors>
    <mruColors>
      <color rgb="FFA4B3C9"/>
      <color rgb="FFADADAF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</xdr:colOff>
      <xdr:row>35</xdr:row>
      <xdr:rowOff>11205</xdr:rowOff>
    </xdr:from>
    <xdr:to>
      <xdr:col>1</xdr:col>
      <xdr:colOff>582710</xdr:colOff>
      <xdr:row>57</xdr:row>
      <xdr:rowOff>11205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DA6520-2FE0-4933-90AE-776C5C4DD293}"/>
            </a:ext>
          </a:extLst>
        </xdr:cNvPr>
        <xdr:cNvSpPr txBox="1"/>
      </xdr:nvSpPr>
      <xdr:spPr>
        <a:xfrm rot="16200000">
          <a:off x="-2308408" y="4661646"/>
          <a:ext cx="5199530" cy="582706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 b="1"/>
            <a:t>Personnel Costs</a:t>
          </a:r>
        </a:p>
      </xdr:txBody>
    </xdr:sp>
    <xdr:clientData/>
  </xdr:twoCellAnchor>
  <xdr:twoCellAnchor>
    <xdr:from>
      <xdr:col>1</xdr:col>
      <xdr:colOff>0</xdr:colOff>
      <xdr:row>57</xdr:row>
      <xdr:rowOff>186016</xdr:rowOff>
    </xdr:from>
    <xdr:to>
      <xdr:col>1</xdr:col>
      <xdr:colOff>582706</xdr:colOff>
      <xdr:row>79</xdr:row>
      <xdr:rowOff>168089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F8A1899-2692-494C-91F9-5DF0A11BC5E7}"/>
            </a:ext>
          </a:extLst>
        </xdr:cNvPr>
        <xdr:cNvSpPr txBox="1"/>
      </xdr:nvSpPr>
      <xdr:spPr>
        <a:xfrm rot="16200000">
          <a:off x="-1817595" y="9545170"/>
          <a:ext cx="4217896" cy="582706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/>
            <a:t>A4000 Operating Expenses,</a:t>
          </a:r>
          <a:r>
            <a:rPr lang="en-US" sz="1400" b="1" baseline="0"/>
            <a:t> Including Travel</a:t>
          </a:r>
          <a:endParaRPr lang="en-US" sz="1400" b="1"/>
        </a:p>
      </xdr:txBody>
    </xdr:sp>
    <xdr:clientData/>
  </xdr:twoCellAnchor>
  <xdr:twoCellAnchor editAs="oneCell">
    <xdr:from>
      <xdr:col>9</xdr:col>
      <xdr:colOff>504265</xdr:colOff>
      <xdr:row>0</xdr:row>
      <xdr:rowOff>33618</xdr:rowOff>
    </xdr:from>
    <xdr:to>
      <xdr:col>12</xdr:col>
      <xdr:colOff>649941</xdr:colOff>
      <xdr:row>1</xdr:row>
      <xdr:rowOff>253626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813EE02-7D1C-39DA-B447-3BCB9D0A3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32794" y="33618"/>
          <a:ext cx="2790265" cy="5001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134469</xdr:colOff>
      <xdr:row>0</xdr:row>
      <xdr:rowOff>17929</xdr:rowOff>
    </xdr:from>
    <xdr:to>
      <xdr:col>13</xdr:col>
      <xdr:colOff>5602</xdr:colOff>
      <xdr:row>1</xdr:row>
      <xdr:rowOff>221728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EAA15D-FCEE-49FF-9E12-3AA8B585664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54594" y="17929"/>
          <a:ext cx="3443008" cy="480024"/>
        </a:xfrm>
        <a:prstGeom prst="rect">
          <a:avLst/>
        </a:prstGeom>
      </xdr:spPr>
    </xdr:pic>
    <xdr:clientData/>
  </xdr:twoCellAnchor>
  <xdr:twoCellAnchor>
    <xdr:from>
      <xdr:col>1</xdr:col>
      <xdr:colOff>4</xdr:colOff>
      <xdr:row>35</xdr:row>
      <xdr:rowOff>11205</xdr:rowOff>
    </xdr:from>
    <xdr:to>
      <xdr:col>1</xdr:col>
      <xdr:colOff>582710</xdr:colOff>
      <xdr:row>57</xdr:row>
      <xdr:rowOff>11205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3AE632F-41F5-44F1-A731-2FC4CEC21B79}"/>
            </a:ext>
          </a:extLst>
        </xdr:cNvPr>
        <xdr:cNvSpPr txBox="1"/>
      </xdr:nvSpPr>
      <xdr:spPr>
        <a:xfrm rot="16200000">
          <a:off x="-2156568" y="4606177"/>
          <a:ext cx="5095875" cy="57318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 b="1"/>
            <a:t>Personnel Costs</a:t>
          </a:r>
        </a:p>
      </xdr:txBody>
    </xdr:sp>
    <xdr:clientData/>
  </xdr:twoCellAnchor>
  <xdr:twoCellAnchor>
    <xdr:from>
      <xdr:col>1</xdr:col>
      <xdr:colOff>0</xdr:colOff>
      <xdr:row>57</xdr:row>
      <xdr:rowOff>186016</xdr:rowOff>
    </xdr:from>
    <xdr:to>
      <xdr:col>1</xdr:col>
      <xdr:colOff>582706</xdr:colOff>
      <xdr:row>79</xdr:row>
      <xdr:rowOff>168089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DB78BB9-5FFC-4766-A11C-71420229BA2D}"/>
            </a:ext>
          </a:extLst>
        </xdr:cNvPr>
        <xdr:cNvSpPr txBox="1"/>
      </xdr:nvSpPr>
      <xdr:spPr>
        <a:xfrm rot="16200000">
          <a:off x="-1718983" y="9439274"/>
          <a:ext cx="4220698" cy="57318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/>
            <a:t>A4000 Operating Expenses,</a:t>
          </a:r>
          <a:r>
            <a:rPr lang="en-US" sz="1400" b="1" baseline="0"/>
            <a:t> Including Travel</a:t>
          </a:r>
          <a:endParaRPr lang="en-US" sz="14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519952</xdr:colOff>
      <xdr:row>0</xdr:row>
      <xdr:rowOff>0</xdr:rowOff>
    </xdr:from>
    <xdr:to>
      <xdr:col>14</xdr:col>
      <xdr:colOff>945775</xdr:colOff>
      <xdr:row>1</xdr:row>
      <xdr:rowOff>262169</xdr:rowOff>
    </xdr:to>
    <xdr:pic>
      <xdr:nvPicPr>
        <xdr:cNvPr id="2" name="Picture 1" descr="logo.jp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8777" y="0"/>
          <a:ext cx="3830170" cy="5383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519952</xdr:colOff>
      <xdr:row>0</xdr:row>
      <xdr:rowOff>0</xdr:rowOff>
    </xdr:from>
    <xdr:to>
      <xdr:col>14</xdr:col>
      <xdr:colOff>945775</xdr:colOff>
      <xdr:row>1</xdr:row>
      <xdr:rowOff>262169</xdr:rowOff>
    </xdr:to>
    <xdr:pic>
      <xdr:nvPicPr>
        <xdr:cNvPr id="2" name="Picture 1" descr="logo.jp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8777" y="0"/>
          <a:ext cx="3830170" cy="5383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519952</xdr:colOff>
      <xdr:row>0</xdr:row>
      <xdr:rowOff>0</xdr:rowOff>
    </xdr:from>
    <xdr:to>
      <xdr:col>14</xdr:col>
      <xdr:colOff>945775</xdr:colOff>
      <xdr:row>1</xdr:row>
      <xdr:rowOff>262169</xdr:rowOff>
    </xdr:to>
    <xdr:pic>
      <xdr:nvPicPr>
        <xdr:cNvPr id="2" name="Picture 1" descr="logo.jp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8777" y="0"/>
          <a:ext cx="3830170" cy="53839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519952</xdr:colOff>
      <xdr:row>0</xdr:row>
      <xdr:rowOff>0</xdr:rowOff>
    </xdr:from>
    <xdr:to>
      <xdr:col>14</xdr:col>
      <xdr:colOff>945775</xdr:colOff>
      <xdr:row>1</xdr:row>
      <xdr:rowOff>262169</xdr:rowOff>
    </xdr:to>
    <xdr:pic>
      <xdr:nvPicPr>
        <xdr:cNvPr id="2" name="Picture 1" descr="logo.jp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8777" y="0"/>
          <a:ext cx="3830170" cy="5383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519952</xdr:colOff>
      <xdr:row>0</xdr:row>
      <xdr:rowOff>0</xdr:rowOff>
    </xdr:from>
    <xdr:to>
      <xdr:col>14</xdr:col>
      <xdr:colOff>945775</xdr:colOff>
      <xdr:row>1</xdr:row>
      <xdr:rowOff>262169</xdr:rowOff>
    </xdr:to>
    <xdr:pic>
      <xdr:nvPicPr>
        <xdr:cNvPr id="2" name="Picture 1" descr="logo.jp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8777" y="0"/>
          <a:ext cx="3830170" cy="5383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Y85"/>
  <sheetViews>
    <sheetView tabSelected="1" topLeftCell="A45" zoomScale="85" zoomScaleNormal="85" zoomScalePageLayoutView="85" workbookViewId="0">
      <selection activeCell="O9" sqref="O9"/>
    </sheetView>
  </sheetViews>
  <sheetFormatPr defaultColWidth="8.85546875" defaultRowHeight="12.75" x14ac:dyDescent="0.2"/>
  <cols>
    <col min="1" max="1" width="1.5703125" style="1" customWidth="1"/>
    <col min="2" max="2" width="8.5703125" style="1" customWidth="1"/>
    <col min="3" max="3" width="28.5703125" style="1" customWidth="1"/>
    <col min="4" max="4" width="22.28515625" style="1" customWidth="1"/>
    <col min="5" max="5" width="14.7109375" style="1" customWidth="1"/>
    <col min="6" max="6" width="15.5703125" style="1" customWidth="1"/>
    <col min="7" max="7" width="13.28515625" style="1" customWidth="1"/>
    <col min="8" max="8" width="11.7109375" style="2" customWidth="1"/>
    <col min="9" max="9" width="13" style="2" customWidth="1"/>
    <col min="10" max="11" width="12.85546875" style="1" customWidth="1"/>
    <col min="12" max="12" width="13.85546875" style="1" bestFit="1" customWidth="1"/>
    <col min="13" max="13" width="14" style="1" customWidth="1"/>
    <col min="14" max="14" width="12" style="1" customWidth="1"/>
    <col min="15" max="15" width="35.42578125" style="1" customWidth="1"/>
    <col min="16" max="16" width="14.28515625" style="1" customWidth="1"/>
    <col min="17" max="16384" width="8.85546875" style="1"/>
  </cols>
  <sheetData>
    <row r="1" spans="2:16" s="4" customFormat="1" ht="21.95" customHeight="1" x14ac:dyDescent="0.2">
      <c r="B1" s="259" t="s">
        <v>11</v>
      </c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67"/>
    </row>
    <row r="2" spans="2:16" s="4" customFormat="1" ht="21.95" customHeight="1" thickBot="1" x14ac:dyDescent="0.25">
      <c r="B2" s="287" t="s">
        <v>244</v>
      </c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68"/>
    </row>
    <row r="3" spans="2:16" s="4" customFormat="1" ht="12" customHeight="1" x14ac:dyDescent="0.25">
      <c r="B3" s="260"/>
      <c r="C3" s="261"/>
      <c r="D3" s="264"/>
      <c r="E3" s="264"/>
      <c r="F3" s="56"/>
      <c r="G3" s="148"/>
      <c r="H3" s="148"/>
      <c r="I3" s="148"/>
      <c r="J3" s="148"/>
      <c r="K3" s="274"/>
      <c r="L3" s="274"/>
      <c r="M3" s="275"/>
      <c r="N3" s="69"/>
      <c r="O3" s="198"/>
    </row>
    <row r="4" spans="2:16" ht="12" customHeight="1" x14ac:dyDescent="0.25">
      <c r="B4" s="262"/>
      <c r="C4" s="279"/>
      <c r="D4" s="286"/>
      <c r="E4" s="286"/>
      <c r="F4" s="152"/>
      <c r="G4" s="149"/>
      <c r="H4" s="149"/>
      <c r="I4" s="149"/>
      <c r="J4" s="149"/>
      <c r="K4" s="272"/>
      <c r="L4" s="272"/>
      <c r="M4" s="273"/>
      <c r="N4" s="70"/>
    </row>
    <row r="5" spans="2:16" ht="18" customHeight="1" x14ac:dyDescent="0.25">
      <c r="B5" s="240" t="s">
        <v>14</v>
      </c>
      <c r="C5" s="241"/>
      <c r="D5" s="241"/>
      <c r="E5" s="241"/>
      <c r="G5" s="120"/>
      <c r="H5" s="101"/>
      <c r="I5" s="265" t="s">
        <v>12</v>
      </c>
      <c r="J5" s="263">
        <v>46300</v>
      </c>
      <c r="K5" s="238"/>
      <c r="L5" s="225"/>
      <c r="M5" s="226"/>
      <c r="N5" s="71"/>
      <c r="O5" s="5"/>
      <c r="P5" s="5"/>
    </row>
    <row r="6" spans="2:16" ht="12" customHeight="1" x14ac:dyDescent="0.25">
      <c r="B6" s="240"/>
      <c r="C6" s="120"/>
      <c r="D6" s="244"/>
      <c r="E6" s="244"/>
      <c r="F6" s="244"/>
      <c r="G6" s="244"/>
      <c r="H6" s="244"/>
      <c r="I6" s="265"/>
      <c r="J6" s="238"/>
      <c r="K6" s="227"/>
      <c r="M6" s="228"/>
    </row>
    <row r="7" spans="2:16" ht="25.5" customHeight="1" x14ac:dyDescent="0.25">
      <c r="B7" s="240" t="s">
        <v>6</v>
      </c>
      <c r="C7" s="241"/>
      <c r="D7" s="289"/>
      <c r="E7" s="289"/>
      <c r="F7" s="244"/>
      <c r="G7" s="244"/>
      <c r="H7" s="244"/>
      <c r="I7" s="265" t="s">
        <v>13</v>
      </c>
      <c r="J7" s="263">
        <v>46599</v>
      </c>
      <c r="K7" s="238"/>
      <c r="L7" s="227"/>
      <c r="M7" s="228"/>
      <c r="N7" s="72"/>
    </row>
    <row r="8" spans="2:16" ht="12.75" customHeight="1" x14ac:dyDescent="0.25">
      <c r="B8" s="240"/>
      <c r="C8" s="120"/>
      <c r="D8" s="244"/>
      <c r="E8" s="244"/>
      <c r="F8" s="244"/>
      <c r="G8" s="244"/>
      <c r="H8" s="244"/>
      <c r="I8" s="265"/>
      <c r="J8" s="238"/>
      <c r="K8" s="227"/>
      <c r="M8" s="228"/>
    </row>
    <row r="9" spans="2:16" ht="12" customHeight="1" thickBot="1" x14ac:dyDescent="0.3">
      <c r="B9" s="242"/>
      <c r="C9" s="243"/>
      <c r="D9" s="245"/>
      <c r="E9" s="245"/>
      <c r="F9" s="245"/>
      <c r="G9" s="245"/>
      <c r="H9" s="245"/>
      <c r="I9" s="153"/>
      <c r="J9" s="153"/>
      <c r="K9" s="239"/>
      <c r="L9" s="229"/>
      <c r="M9" s="230"/>
      <c r="N9" s="72"/>
    </row>
    <row r="10" spans="2:16" ht="13.5" hidden="1" customHeight="1" thickBot="1" x14ac:dyDescent="0.25">
      <c r="C10" s="52"/>
      <c r="D10" s="52"/>
      <c r="E10" s="89" t="s">
        <v>173</v>
      </c>
      <c r="F10" s="90" t="s">
        <v>67</v>
      </c>
      <c r="G10" s="90" t="s">
        <v>65</v>
      </c>
      <c r="H10" s="91" t="s">
        <v>71</v>
      </c>
      <c r="I10" s="52"/>
      <c r="J10" s="52"/>
      <c r="K10" s="52"/>
      <c r="L10" s="60" t="s">
        <v>26</v>
      </c>
      <c r="M10" s="61">
        <v>0</v>
      </c>
      <c r="N10" s="66"/>
    </row>
    <row r="11" spans="2:16" ht="12.75" hidden="1" customHeight="1" x14ac:dyDescent="0.2">
      <c r="C11" s="89" t="s">
        <v>259</v>
      </c>
      <c r="D11" s="191"/>
      <c r="E11" s="96" t="str">
        <f>L10</f>
        <v>Select One</v>
      </c>
      <c r="F11" s="52" t="str">
        <f>L10</f>
        <v>Select One</v>
      </c>
      <c r="G11" s="52" t="str">
        <f>L10</f>
        <v>Select One</v>
      </c>
      <c r="H11" s="93" t="str">
        <f>L10</f>
        <v>Select One</v>
      </c>
      <c r="I11" s="89" t="e">
        <f>C11&amp;#REF!</f>
        <v>#REF!</v>
      </c>
      <c r="J11" s="99" t="e">
        <f>#REF!</f>
        <v>#REF!</v>
      </c>
      <c r="K11" s="100">
        <v>0.18</v>
      </c>
      <c r="L11" s="91">
        <v>100</v>
      </c>
      <c r="M11" s="52"/>
    </row>
    <row r="12" spans="2:16" ht="12.75" hidden="1" customHeight="1" x14ac:dyDescent="0.2">
      <c r="C12" s="92" t="s">
        <v>260</v>
      </c>
      <c r="D12" s="191"/>
      <c r="E12" s="97" t="e">
        <f>#REF!</f>
        <v>#REF!</v>
      </c>
      <c r="F12" s="53" t="e">
        <f>#REF!</f>
        <v>#REF!</v>
      </c>
      <c r="G12" s="52"/>
      <c r="H12" s="93" t="s">
        <v>69</v>
      </c>
      <c r="I12" s="92" t="str">
        <f>C11&amp;K7</f>
        <v>Faculty</v>
      </c>
      <c r="J12" s="62">
        <f>L7</f>
        <v>0</v>
      </c>
      <c r="K12" s="63">
        <v>0.18</v>
      </c>
      <c r="L12" s="93">
        <v>100</v>
      </c>
      <c r="M12" s="52"/>
    </row>
    <row r="13" spans="2:16" ht="12.75" hidden="1" customHeight="1" x14ac:dyDescent="0.2">
      <c r="C13" s="92" t="s">
        <v>261</v>
      </c>
      <c r="D13" s="191"/>
      <c r="E13" s="97">
        <f>K7</f>
        <v>0</v>
      </c>
      <c r="F13" s="53">
        <f>K7</f>
        <v>0</v>
      </c>
      <c r="G13" s="52"/>
      <c r="H13" s="93"/>
      <c r="I13" s="92" t="str">
        <f>C11&amp;J8</f>
        <v>Faculty</v>
      </c>
      <c r="J13" s="62">
        <f>K8</f>
        <v>0</v>
      </c>
      <c r="K13" s="63">
        <v>0.18</v>
      </c>
      <c r="L13" s="93">
        <v>100</v>
      </c>
      <c r="M13" s="52"/>
    </row>
    <row r="14" spans="2:16" ht="12.75" hidden="1" customHeight="1" x14ac:dyDescent="0.2">
      <c r="C14" s="92" t="s">
        <v>262</v>
      </c>
      <c r="D14" s="191"/>
      <c r="E14" s="97">
        <f>J8</f>
        <v>0</v>
      </c>
      <c r="F14" s="53">
        <f>J8</f>
        <v>0</v>
      </c>
      <c r="G14" s="52"/>
      <c r="H14" s="93"/>
      <c r="I14" s="92" t="str">
        <f>C11&amp;K9</f>
        <v>Faculty</v>
      </c>
      <c r="J14" s="62">
        <f>L9</f>
        <v>0</v>
      </c>
      <c r="K14" s="63">
        <v>0.18</v>
      </c>
      <c r="L14" s="93">
        <v>100</v>
      </c>
      <c r="M14" s="52"/>
    </row>
    <row r="15" spans="2:16" ht="12.75" hidden="1" customHeight="1" x14ac:dyDescent="0.2">
      <c r="C15" s="92" t="s">
        <v>71</v>
      </c>
      <c r="D15" s="191"/>
      <c r="E15" s="97">
        <f>K9</f>
        <v>0</v>
      </c>
      <c r="F15" s="53">
        <f>K9</f>
        <v>0</v>
      </c>
      <c r="G15" s="52"/>
      <c r="H15" s="93"/>
      <c r="I15" s="92" t="e">
        <f>C12&amp;#REF!</f>
        <v>#REF!</v>
      </c>
      <c r="J15" s="62" t="e">
        <f>#REF!</f>
        <v>#REF!</v>
      </c>
      <c r="K15" s="63">
        <v>0.18</v>
      </c>
      <c r="L15" s="93">
        <v>100</v>
      </c>
      <c r="M15" s="52"/>
    </row>
    <row r="16" spans="2:16" ht="13.5" hidden="1" customHeight="1" thickBot="1" x14ac:dyDescent="0.25">
      <c r="C16" s="237" t="s">
        <v>273</v>
      </c>
      <c r="D16" s="191"/>
      <c r="E16" s="94" t="s">
        <v>69</v>
      </c>
      <c r="F16" s="190" t="s">
        <v>69</v>
      </c>
      <c r="G16" s="98"/>
      <c r="H16" s="95"/>
      <c r="I16" s="92" t="str">
        <f>C12&amp;K7</f>
        <v>Staff</v>
      </c>
      <c r="J16" s="62">
        <f>L7</f>
        <v>0</v>
      </c>
      <c r="K16" s="63">
        <v>0.18</v>
      </c>
      <c r="L16" s="93">
        <v>100</v>
      </c>
      <c r="M16" s="52"/>
    </row>
    <row r="17" spans="3:13" ht="13.5" hidden="1" customHeight="1" thickBot="1" x14ac:dyDescent="0.25">
      <c r="C17" s="94" t="s">
        <v>65</v>
      </c>
      <c r="D17" s="52"/>
      <c r="E17" s="52"/>
      <c r="F17" s="52"/>
      <c r="G17" s="52"/>
      <c r="H17" s="52"/>
      <c r="I17" s="92" t="str">
        <f>C12&amp;J8</f>
        <v>Staff</v>
      </c>
      <c r="J17" s="62">
        <f>K8</f>
        <v>0</v>
      </c>
      <c r="K17" s="63">
        <v>0.18</v>
      </c>
      <c r="L17" s="93">
        <v>100</v>
      </c>
      <c r="M17" s="52"/>
    </row>
    <row r="18" spans="3:13" ht="12.75" hidden="1" customHeight="1" x14ac:dyDescent="0.2">
      <c r="C18" s="52"/>
      <c r="D18" s="52"/>
      <c r="E18" s="52"/>
      <c r="F18" s="52"/>
      <c r="G18" s="52"/>
      <c r="H18" s="52"/>
      <c r="I18" s="92" t="str">
        <f>C12&amp;K9</f>
        <v>Staff</v>
      </c>
      <c r="J18" s="62">
        <f>L9</f>
        <v>0</v>
      </c>
      <c r="K18" s="63">
        <v>0.18</v>
      </c>
      <c r="L18" s="93">
        <v>100</v>
      </c>
      <c r="M18" s="52"/>
    </row>
    <row r="19" spans="3:13" ht="12.75" hidden="1" customHeight="1" x14ac:dyDescent="0.2">
      <c r="C19" s="52"/>
      <c r="D19" s="52"/>
      <c r="E19" s="52"/>
      <c r="F19" s="52"/>
      <c r="G19" s="52"/>
      <c r="H19" s="52"/>
      <c r="I19" s="92" t="e">
        <f>C13&amp;#REF!</f>
        <v>#REF!</v>
      </c>
      <c r="J19" s="62" t="e">
        <f>#REF!</f>
        <v>#REF!</v>
      </c>
      <c r="K19" s="63">
        <v>0.18</v>
      </c>
      <c r="L19" s="93">
        <v>50</v>
      </c>
      <c r="M19" s="52"/>
    </row>
    <row r="20" spans="3:13" ht="12.75" hidden="1" customHeight="1" x14ac:dyDescent="0.2">
      <c r="C20" s="52"/>
      <c r="D20" s="52"/>
      <c r="E20" s="52"/>
      <c r="F20" s="52"/>
      <c r="G20" s="52"/>
      <c r="H20" s="52"/>
      <c r="I20" s="92" t="str">
        <f>C13&amp;K7</f>
        <v>TA Salaried</v>
      </c>
      <c r="J20" s="62">
        <f>L7</f>
        <v>0</v>
      </c>
      <c r="K20" s="63">
        <v>0.18</v>
      </c>
      <c r="L20" s="93">
        <v>50</v>
      </c>
      <c r="M20" s="52"/>
    </row>
    <row r="21" spans="3:13" ht="12.75" hidden="1" customHeight="1" x14ac:dyDescent="0.2">
      <c r="C21" s="52"/>
      <c r="D21" s="52"/>
      <c r="E21" s="52"/>
      <c r="F21" s="52"/>
      <c r="G21" s="52"/>
      <c r="H21" s="52"/>
      <c r="I21" s="92" t="str">
        <f>C13&amp;J8</f>
        <v>TA Salaried</v>
      </c>
      <c r="J21" s="62">
        <f>K8</f>
        <v>0</v>
      </c>
      <c r="K21" s="63">
        <v>0.18</v>
      </c>
      <c r="L21" s="93">
        <v>50</v>
      </c>
      <c r="M21" s="52"/>
    </row>
    <row r="22" spans="3:13" ht="12.75" hidden="1" customHeight="1" x14ac:dyDescent="0.2">
      <c r="C22" s="52"/>
      <c r="D22" s="52"/>
      <c r="E22" s="52"/>
      <c r="F22" s="52"/>
      <c r="G22" s="52"/>
      <c r="H22" s="52"/>
      <c r="I22" s="92" t="str">
        <f>C13&amp;K9</f>
        <v>TA Salaried</v>
      </c>
      <c r="J22" s="62">
        <f>L9</f>
        <v>0</v>
      </c>
      <c r="K22" s="63">
        <v>0.18</v>
      </c>
      <c r="L22" s="93">
        <v>50</v>
      </c>
      <c r="M22" s="52"/>
    </row>
    <row r="23" spans="3:13" ht="12.75" hidden="1" customHeight="1" x14ac:dyDescent="0.2">
      <c r="C23" s="52"/>
      <c r="D23" s="52"/>
      <c r="E23" s="52"/>
      <c r="F23" s="52"/>
      <c r="G23" s="52"/>
      <c r="H23" s="52"/>
      <c r="I23" s="92" t="e">
        <f>C14&amp;#REF!</f>
        <v>#REF!</v>
      </c>
      <c r="J23" s="52">
        <v>0</v>
      </c>
      <c r="K23" s="63">
        <v>0.08</v>
      </c>
      <c r="L23" s="93">
        <v>0</v>
      </c>
      <c r="M23" s="52"/>
    </row>
    <row r="24" spans="3:13" ht="12.75" hidden="1" customHeight="1" x14ac:dyDescent="0.2">
      <c r="C24" s="52"/>
      <c r="D24" s="52"/>
      <c r="E24" s="52"/>
      <c r="F24" s="52"/>
      <c r="G24" s="52"/>
      <c r="H24" s="52"/>
      <c r="I24" s="92" t="str">
        <f>C11&amp;L10</f>
        <v>FacultySelect One</v>
      </c>
      <c r="J24" s="52">
        <v>0</v>
      </c>
      <c r="K24" s="63">
        <v>0</v>
      </c>
      <c r="L24" s="93">
        <v>0</v>
      </c>
      <c r="M24" s="52"/>
    </row>
    <row r="25" spans="3:13" ht="12.75" hidden="1" customHeight="1" x14ac:dyDescent="0.2">
      <c r="C25" s="52"/>
      <c r="D25" s="52"/>
      <c r="E25" s="52"/>
      <c r="F25" s="52"/>
      <c r="G25" s="52"/>
      <c r="H25" s="52"/>
      <c r="I25" s="92" t="str">
        <f>C12&amp;L10</f>
        <v>StaffSelect One</v>
      </c>
      <c r="J25" s="52">
        <v>0</v>
      </c>
      <c r="K25" s="63">
        <v>0</v>
      </c>
      <c r="L25" s="93">
        <v>0</v>
      </c>
      <c r="M25" s="52"/>
    </row>
    <row r="26" spans="3:13" ht="12.75" hidden="1" customHeight="1" x14ac:dyDescent="0.2">
      <c r="C26" s="52"/>
      <c r="D26" s="52"/>
      <c r="E26" s="52"/>
      <c r="F26" s="52"/>
      <c r="G26" s="52"/>
      <c r="H26" s="52"/>
      <c r="I26" s="92" t="str">
        <f>C13&amp;L10</f>
        <v>TA SalariedSelect One</v>
      </c>
      <c r="J26" s="52">
        <v>0</v>
      </c>
      <c r="K26" s="63">
        <v>0</v>
      </c>
      <c r="L26" s="93">
        <v>0</v>
      </c>
      <c r="M26" s="52"/>
    </row>
    <row r="27" spans="3:13" ht="12.75" hidden="1" customHeight="1" x14ac:dyDescent="0.2">
      <c r="C27" s="52"/>
      <c r="D27" s="52"/>
      <c r="E27" s="52"/>
      <c r="F27" s="52"/>
      <c r="G27" s="52"/>
      <c r="H27" s="52"/>
      <c r="I27" s="92" t="str">
        <f>C14&amp;L10</f>
        <v>GTA SalariedSelect One</v>
      </c>
      <c r="J27" s="52">
        <v>0</v>
      </c>
      <c r="K27" s="63">
        <v>0</v>
      </c>
      <c r="L27" s="93">
        <v>0</v>
      </c>
      <c r="M27" s="52"/>
    </row>
    <row r="28" spans="3:13" ht="12.75" hidden="1" customHeight="1" x14ac:dyDescent="0.2">
      <c r="C28" s="52"/>
      <c r="D28" s="52"/>
      <c r="E28" s="52"/>
      <c r="F28" s="52"/>
      <c r="G28" s="52"/>
      <c r="H28" s="52"/>
      <c r="I28" s="92" t="str">
        <f>C15&amp;H11</f>
        <v>HourlySelect One</v>
      </c>
      <c r="J28" s="52">
        <v>0</v>
      </c>
      <c r="K28" s="64">
        <v>0</v>
      </c>
      <c r="L28" s="93">
        <v>0</v>
      </c>
      <c r="M28" s="52"/>
    </row>
    <row r="29" spans="3:13" ht="12.75" hidden="1" customHeight="1" x14ac:dyDescent="0.2">
      <c r="C29" s="52"/>
      <c r="D29" s="52"/>
      <c r="E29" s="52"/>
      <c r="F29" s="52"/>
      <c r="G29" s="52"/>
      <c r="H29" s="52"/>
      <c r="I29" s="92" t="str">
        <f>C15&amp;H12</f>
        <v>HourlyNone</v>
      </c>
      <c r="J29" s="52">
        <v>0</v>
      </c>
      <c r="K29" s="64">
        <v>0.08</v>
      </c>
      <c r="L29" s="93">
        <v>0</v>
      </c>
      <c r="M29" s="52"/>
    </row>
    <row r="30" spans="3:13" ht="12.75" hidden="1" customHeight="1" x14ac:dyDescent="0.2">
      <c r="C30" s="52"/>
      <c r="D30" s="52"/>
      <c r="E30" s="52"/>
      <c r="F30" s="52"/>
      <c r="G30" s="52"/>
      <c r="H30" s="52"/>
      <c r="I30" s="92" t="str">
        <f>C11&amp;E16</f>
        <v>FacultyNone</v>
      </c>
      <c r="J30" s="52">
        <v>0</v>
      </c>
      <c r="K30" s="64">
        <v>0.18</v>
      </c>
      <c r="L30" s="93">
        <v>100</v>
      </c>
      <c r="M30" s="52"/>
    </row>
    <row r="31" spans="3:13" ht="12.75" hidden="1" customHeight="1" x14ac:dyDescent="0.2">
      <c r="C31" s="52"/>
      <c r="D31" s="52"/>
      <c r="E31" s="52"/>
      <c r="F31" s="52"/>
      <c r="G31" s="52"/>
      <c r="H31" s="52"/>
      <c r="I31" s="92" t="e">
        <f>C12&amp;#REF!</f>
        <v>#REF!</v>
      </c>
      <c r="J31" s="52">
        <v>0</v>
      </c>
      <c r="K31" s="64">
        <v>0.18</v>
      </c>
      <c r="L31" s="93">
        <v>100</v>
      </c>
      <c r="M31" s="52"/>
    </row>
    <row r="32" spans="3:13" ht="12.75" hidden="1" customHeight="1" x14ac:dyDescent="0.2">
      <c r="C32" s="52"/>
      <c r="D32" s="52"/>
      <c r="E32" s="52"/>
      <c r="F32" s="52"/>
      <c r="G32" s="52"/>
      <c r="H32" s="52"/>
      <c r="I32" s="92" t="str">
        <f>C13&amp;F16</f>
        <v>TA SalariedNone</v>
      </c>
      <c r="J32" s="52">
        <v>0</v>
      </c>
      <c r="K32" s="64">
        <v>0.18</v>
      </c>
      <c r="L32" s="93">
        <v>100</v>
      </c>
      <c r="M32" s="52"/>
    </row>
    <row r="33" spans="2:17" ht="13.5" hidden="1" customHeight="1" thickBot="1" x14ac:dyDescent="0.25">
      <c r="C33" s="52"/>
      <c r="D33" s="52"/>
      <c r="E33" s="52"/>
      <c r="F33" s="52"/>
      <c r="G33" s="52"/>
      <c r="H33" s="52"/>
      <c r="I33" s="94" t="str">
        <f>C17&amp;Select</f>
        <v>SelectSelect One</v>
      </c>
      <c r="J33" s="98">
        <v>0</v>
      </c>
      <c r="K33" s="98">
        <v>0</v>
      </c>
      <c r="L33" s="95">
        <v>0</v>
      </c>
      <c r="M33" s="52"/>
    </row>
    <row r="34" spans="2:17" ht="18" customHeight="1" thickBot="1" x14ac:dyDescent="0.25">
      <c r="B34" s="277"/>
      <c r="C34" s="277"/>
      <c r="D34" s="277"/>
      <c r="E34" s="277"/>
      <c r="F34" s="277"/>
      <c r="G34" s="277"/>
      <c r="H34" s="277"/>
      <c r="I34" s="277"/>
      <c r="J34" s="277"/>
      <c r="K34" s="277"/>
      <c r="L34" s="277"/>
      <c r="M34" s="277"/>
    </row>
    <row r="35" spans="2:17" ht="18" customHeight="1" thickBot="1" x14ac:dyDescent="0.3">
      <c r="B35" s="290"/>
      <c r="C35" s="248" t="s">
        <v>208</v>
      </c>
      <c r="D35" s="249"/>
      <c r="E35" s="249"/>
      <c r="F35" s="249"/>
      <c r="G35" s="249"/>
      <c r="H35" s="249"/>
      <c r="I35" s="249"/>
      <c r="J35" s="276"/>
      <c r="K35" s="276"/>
      <c r="L35" s="276" t="s">
        <v>70</v>
      </c>
      <c r="M35" s="234">
        <f>SUM(J57:M57)</f>
        <v>0</v>
      </c>
    </row>
    <row r="36" spans="2:17" ht="39" customHeight="1" x14ac:dyDescent="0.2">
      <c r="B36" s="270" t="s">
        <v>257</v>
      </c>
      <c r="C36" s="285" t="s">
        <v>60</v>
      </c>
      <c r="D36" s="85" t="s">
        <v>1</v>
      </c>
      <c r="E36" s="85" t="s">
        <v>271</v>
      </c>
      <c r="F36" s="288" t="s">
        <v>73</v>
      </c>
      <c r="G36" s="85" t="s">
        <v>189</v>
      </c>
      <c r="H36" s="85" t="s">
        <v>72</v>
      </c>
      <c r="I36" s="192" t="s">
        <v>198</v>
      </c>
      <c r="J36" s="85" t="s">
        <v>263</v>
      </c>
      <c r="K36" s="85" t="s">
        <v>264</v>
      </c>
      <c r="L36" s="85" t="s">
        <v>265</v>
      </c>
      <c r="M36" s="88" t="s">
        <v>266</v>
      </c>
      <c r="N36" s="82"/>
      <c r="Q36" s="7"/>
    </row>
    <row r="37" spans="2:17" ht="17.45" customHeight="1" x14ac:dyDescent="0.2">
      <c r="B37" s="270"/>
      <c r="C37" s="246"/>
      <c r="D37" s="6"/>
      <c r="E37" s="124" t="s">
        <v>65</v>
      </c>
      <c r="F37" s="278"/>
      <c r="G37" s="8"/>
      <c r="H37" s="59"/>
      <c r="I37" s="9">
        <f t="shared" ref="I37:I56" si="0">IF(E37="Hourly",G37*H37/173.33,G37*H37/100)</f>
        <v>0</v>
      </c>
      <c r="J37" s="45">
        <f t="shared" ref="J37:J56" si="1">IF($E37="Staff",ROUND((F37*G37*H37*VLOOKUP(E37,C$11:C$17,2,FALSE)),0),0)</f>
        <v>0</v>
      </c>
      <c r="K37" s="45">
        <f t="shared" ref="K37:K56" si="2">IF(OR(E37="Hourly", E37="GRA Salaried"),ROUND((F37*G37*H37*VLOOKUP(E37,C$11:C$17,2,FALSE)),0),0)</f>
        <v>0</v>
      </c>
      <c r="L37" s="45">
        <f t="shared" ref="L37:L56" si="3">IF(OR($E37="Faculty",$E37="TA Salaried"),ROUND((F37*G37*H37*VLOOKUP(E37,C$11:C$17,2,FALSE)),0),0)</f>
        <v>0</v>
      </c>
      <c r="M37" s="46">
        <f t="shared" ref="M37:M56" si="4">IF(E37="GTA Salaried",ROUND((F37*G37*H37*VLOOKUP(E37,C$11:C$17,2,FALSE)),0),0)</f>
        <v>0</v>
      </c>
      <c r="N37" s="73"/>
      <c r="O37" s="231"/>
      <c r="Q37" s="5"/>
    </row>
    <row r="38" spans="2:17" ht="17.45" customHeight="1" x14ac:dyDescent="0.2">
      <c r="B38" s="270"/>
      <c r="C38" s="246"/>
      <c r="D38" s="6"/>
      <c r="E38" s="124" t="s">
        <v>65</v>
      </c>
      <c r="F38" s="247"/>
      <c r="G38" s="8"/>
      <c r="H38" s="59"/>
      <c r="I38" s="9">
        <f t="shared" si="0"/>
        <v>0</v>
      </c>
      <c r="J38" s="45">
        <f t="shared" si="1"/>
        <v>0</v>
      </c>
      <c r="K38" s="45">
        <f t="shared" si="2"/>
        <v>0</v>
      </c>
      <c r="L38" s="45">
        <f t="shared" si="3"/>
        <v>0</v>
      </c>
      <c r="M38" s="46">
        <f t="shared" si="4"/>
        <v>0</v>
      </c>
      <c r="N38" s="74"/>
      <c r="O38" s="231"/>
      <c r="Q38" s="5"/>
    </row>
    <row r="39" spans="2:17" ht="17.45" customHeight="1" x14ac:dyDescent="0.2">
      <c r="B39" s="270"/>
      <c r="C39" s="246"/>
      <c r="D39" s="6"/>
      <c r="E39" s="124" t="s">
        <v>65</v>
      </c>
      <c r="F39" s="247"/>
      <c r="G39" s="8"/>
      <c r="H39" s="59"/>
      <c r="I39" s="9">
        <f t="shared" si="0"/>
        <v>0</v>
      </c>
      <c r="J39" s="45">
        <f t="shared" si="1"/>
        <v>0</v>
      </c>
      <c r="K39" s="45">
        <f t="shared" si="2"/>
        <v>0</v>
      </c>
      <c r="L39" s="45">
        <f t="shared" si="3"/>
        <v>0</v>
      </c>
      <c r="M39" s="46">
        <f t="shared" si="4"/>
        <v>0</v>
      </c>
      <c r="N39" s="74"/>
      <c r="O39" s="231"/>
      <c r="Q39" s="5"/>
    </row>
    <row r="40" spans="2:17" ht="17.25" customHeight="1" x14ac:dyDescent="0.2">
      <c r="B40" s="270"/>
      <c r="C40" s="246"/>
      <c r="D40" s="6"/>
      <c r="E40" s="124" t="s">
        <v>65</v>
      </c>
      <c r="F40" s="247"/>
      <c r="G40" s="8"/>
      <c r="H40" s="59"/>
      <c r="I40" s="9">
        <f t="shared" si="0"/>
        <v>0</v>
      </c>
      <c r="J40" s="45">
        <f t="shared" si="1"/>
        <v>0</v>
      </c>
      <c r="K40" s="45">
        <f t="shared" si="2"/>
        <v>0</v>
      </c>
      <c r="L40" s="45">
        <f t="shared" si="3"/>
        <v>0</v>
      </c>
      <c r="M40" s="46">
        <f t="shared" si="4"/>
        <v>0</v>
      </c>
      <c r="N40" s="74"/>
      <c r="O40" s="231"/>
      <c r="Q40" s="5"/>
    </row>
    <row r="41" spans="2:17" ht="17.25" customHeight="1" x14ac:dyDescent="0.2">
      <c r="B41" s="270"/>
      <c r="C41" s="246"/>
      <c r="D41" s="6"/>
      <c r="E41" s="124" t="s">
        <v>65</v>
      </c>
      <c r="F41" s="247"/>
      <c r="G41" s="8"/>
      <c r="H41" s="59"/>
      <c r="I41" s="9">
        <f t="shared" si="0"/>
        <v>0</v>
      </c>
      <c r="J41" s="45">
        <f t="shared" si="1"/>
        <v>0</v>
      </c>
      <c r="K41" s="45">
        <f t="shared" si="2"/>
        <v>0</v>
      </c>
      <c r="L41" s="45">
        <f t="shared" si="3"/>
        <v>0</v>
      </c>
      <c r="M41" s="46">
        <f t="shared" si="4"/>
        <v>0</v>
      </c>
      <c r="N41" s="74"/>
      <c r="O41" s="231"/>
      <c r="Q41" s="5"/>
    </row>
    <row r="42" spans="2:17" ht="17.25" customHeight="1" x14ac:dyDescent="0.2">
      <c r="B42" s="270"/>
      <c r="C42" s="246"/>
      <c r="D42" s="6"/>
      <c r="E42" s="124" t="s">
        <v>65</v>
      </c>
      <c r="F42" s="247"/>
      <c r="G42" s="8"/>
      <c r="H42" s="59"/>
      <c r="I42" s="9">
        <f t="shared" si="0"/>
        <v>0</v>
      </c>
      <c r="J42" s="45">
        <f t="shared" si="1"/>
        <v>0</v>
      </c>
      <c r="K42" s="45">
        <f t="shared" si="2"/>
        <v>0</v>
      </c>
      <c r="L42" s="45">
        <f t="shared" si="3"/>
        <v>0</v>
      </c>
      <c r="M42" s="46">
        <f t="shared" si="4"/>
        <v>0</v>
      </c>
      <c r="N42" s="74"/>
      <c r="O42" s="17"/>
      <c r="Q42" s="3"/>
    </row>
    <row r="43" spans="2:17" ht="17.25" customHeight="1" x14ac:dyDescent="0.2">
      <c r="B43" s="270"/>
      <c r="C43" s="246"/>
      <c r="D43" s="6"/>
      <c r="E43" s="124" t="s">
        <v>65</v>
      </c>
      <c r="F43" s="247"/>
      <c r="G43" s="8"/>
      <c r="H43" s="59"/>
      <c r="I43" s="9">
        <f t="shared" si="0"/>
        <v>0</v>
      </c>
      <c r="J43" s="45">
        <f t="shared" si="1"/>
        <v>0</v>
      </c>
      <c r="K43" s="45">
        <f t="shared" si="2"/>
        <v>0</v>
      </c>
      <c r="L43" s="45">
        <f t="shared" si="3"/>
        <v>0</v>
      </c>
      <c r="M43" s="46">
        <f t="shared" si="4"/>
        <v>0</v>
      </c>
      <c r="N43" s="74"/>
      <c r="O43" s="17"/>
      <c r="Q43" s="3"/>
    </row>
    <row r="44" spans="2:17" ht="17.25" customHeight="1" x14ac:dyDescent="0.2">
      <c r="B44" s="270"/>
      <c r="C44" s="246"/>
      <c r="D44" s="6"/>
      <c r="E44" s="124" t="s">
        <v>65</v>
      </c>
      <c r="F44" s="247"/>
      <c r="G44" s="8"/>
      <c r="H44" s="59"/>
      <c r="I44" s="9">
        <f t="shared" si="0"/>
        <v>0</v>
      </c>
      <c r="J44" s="45">
        <f t="shared" si="1"/>
        <v>0</v>
      </c>
      <c r="K44" s="45">
        <f t="shared" si="2"/>
        <v>0</v>
      </c>
      <c r="L44" s="45">
        <f t="shared" si="3"/>
        <v>0</v>
      </c>
      <c r="M44" s="46">
        <f t="shared" si="4"/>
        <v>0</v>
      </c>
      <c r="N44" s="74"/>
      <c r="O44" s="17"/>
      <c r="Q44" s="3"/>
    </row>
    <row r="45" spans="2:17" ht="17.45" customHeight="1" x14ac:dyDescent="0.2">
      <c r="B45" s="270"/>
      <c r="C45" s="246"/>
      <c r="D45" s="6"/>
      <c r="E45" s="124" t="s">
        <v>65</v>
      </c>
      <c r="F45" s="247"/>
      <c r="G45" s="8"/>
      <c r="H45" s="59"/>
      <c r="I45" s="9">
        <f t="shared" si="0"/>
        <v>0</v>
      </c>
      <c r="J45" s="45">
        <f t="shared" si="1"/>
        <v>0</v>
      </c>
      <c r="K45" s="45">
        <f t="shared" si="2"/>
        <v>0</v>
      </c>
      <c r="L45" s="45">
        <f t="shared" si="3"/>
        <v>0</v>
      </c>
      <c r="M45" s="46">
        <f t="shared" si="4"/>
        <v>0</v>
      </c>
      <c r="N45" s="74"/>
      <c r="O45" s="17"/>
      <c r="Q45" s="3"/>
    </row>
    <row r="46" spans="2:17" ht="17.45" customHeight="1" x14ac:dyDescent="0.2">
      <c r="B46" s="270"/>
      <c r="C46" s="246"/>
      <c r="D46" s="6"/>
      <c r="E46" s="124" t="s">
        <v>65</v>
      </c>
      <c r="F46" s="247"/>
      <c r="G46" s="8"/>
      <c r="H46" s="59"/>
      <c r="I46" s="9">
        <f t="shared" si="0"/>
        <v>0</v>
      </c>
      <c r="J46" s="45">
        <f t="shared" si="1"/>
        <v>0</v>
      </c>
      <c r="K46" s="45">
        <f t="shared" si="2"/>
        <v>0</v>
      </c>
      <c r="L46" s="45">
        <f t="shared" si="3"/>
        <v>0</v>
      </c>
      <c r="M46" s="46">
        <f t="shared" si="4"/>
        <v>0</v>
      </c>
      <c r="N46" s="74"/>
      <c r="O46" s="17"/>
      <c r="Q46" s="3"/>
    </row>
    <row r="47" spans="2:17" ht="17.45" customHeight="1" x14ac:dyDescent="0.2">
      <c r="B47" s="270"/>
      <c r="C47" s="246"/>
      <c r="D47" s="6"/>
      <c r="E47" s="124" t="s">
        <v>65</v>
      </c>
      <c r="F47" s="247"/>
      <c r="G47" s="8"/>
      <c r="H47" s="214"/>
      <c r="I47" s="9">
        <f t="shared" si="0"/>
        <v>0</v>
      </c>
      <c r="J47" s="45">
        <f t="shared" si="1"/>
        <v>0</v>
      </c>
      <c r="K47" s="45">
        <f t="shared" si="2"/>
        <v>0</v>
      </c>
      <c r="L47" s="45">
        <f t="shared" si="3"/>
        <v>0</v>
      </c>
      <c r="M47" s="46">
        <f t="shared" si="4"/>
        <v>0</v>
      </c>
      <c r="N47" s="74"/>
      <c r="O47" s="17"/>
      <c r="Q47" s="3"/>
    </row>
    <row r="48" spans="2:17" ht="17.45" customHeight="1" x14ac:dyDescent="0.2">
      <c r="B48" s="270"/>
      <c r="C48" s="246"/>
      <c r="D48" s="6"/>
      <c r="E48" s="124" t="s">
        <v>65</v>
      </c>
      <c r="F48" s="247"/>
      <c r="G48" s="8"/>
      <c r="H48" s="59"/>
      <c r="I48" s="9">
        <f t="shared" si="0"/>
        <v>0</v>
      </c>
      <c r="J48" s="45">
        <f t="shared" si="1"/>
        <v>0</v>
      </c>
      <c r="K48" s="45">
        <f t="shared" si="2"/>
        <v>0</v>
      </c>
      <c r="L48" s="45">
        <f t="shared" si="3"/>
        <v>0</v>
      </c>
      <c r="M48" s="46">
        <f t="shared" si="4"/>
        <v>0</v>
      </c>
      <c r="N48" s="74"/>
      <c r="O48" s="17"/>
      <c r="Q48" s="3"/>
    </row>
    <row r="49" spans="2:17" ht="17.45" customHeight="1" x14ac:dyDescent="0.2">
      <c r="B49" s="270"/>
      <c r="C49" s="246"/>
      <c r="D49" s="6"/>
      <c r="E49" s="124" t="s">
        <v>65</v>
      </c>
      <c r="F49" s="247"/>
      <c r="G49" s="8"/>
      <c r="H49" s="59"/>
      <c r="I49" s="9">
        <f t="shared" si="0"/>
        <v>0</v>
      </c>
      <c r="J49" s="45">
        <f t="shared" si="1"/>
        <v>0</v>
      </c>
      <c r="K49" s="45">
        <f t="shared" si="2"/>
        <v>0</v>
      </c>
      <c r="L49" s="45">
        <f t="shared" si="3"/>
        <v>0</v>
      </c>
      <c r="M49" s="46">
        <f t="shared" si="4"/>
        <v>0</v>
      </c>
      <c r="N49" s="74"/>
      <c r="O49" s="17"/>
      <c r="Q49" s="3"/>
    </row>
    <row r="50" spans="2:17" ht="17.45" customHeight="1" x14ac:dyDescent="0.2">
      <c r="B50" s="270"/>
      <c r="C50" s="246"/>
      <c r="D50" s="6"/>
      <c r="E50" s="124" t="s">
        <v>65</v>
      </c>
      <c r="F50" s="247"/>
      <c r="G50" s="8"/>
      <c r="H50" s="59"/>
      <c r="I50" s="9">
        <f t="shared" si="0"/>
        <v>0</v>
      </c>
      <c r="J50" s="45">
        <f t="shared" si="1"/>
        <v>0</v>
      </c>
      <c r="K50" s="45">
        <f t="shared" si="2"/>
        <v>0</v>
      </c>
      <c r="L50" s="45">
        <f t="shared" si="3"/>
        <v>0</v>
      </c>
      <c r="M50" s="46">
        <f t="shared" si="4"/>
        <v>0</v>
      </c>
      <c r="N50" s="74"/>
      <c r="O50" s="17"/>
      <c r="Q50" s="3"/>
    </row>
    <row r="51" spans="2:17" ht="17.45" customHeight="1" x14ac:dyDescent="0.2">
      <c r="B51" s="270"/>
      <c r="C51" s="246"/>
      <c r="D51" s="6"/>
      <c r="E51" s="124" t="s">
        <v>65</v>
      </c>
      <c r="F51" s="247"/>
      <c r="G51" s="8"/>
      <c r="H51" s="59"/>
      <c r="I51" s="9">
        <f t="shared" si="0"/>
        <v>0</v>
      </c>
      <c r="J51" s="45">
        <f t="shared" si="1"/>
        <v>0</v>
      </c>
      <c r="K51" s="45">
        <f t="shared" si="2"/>
        <v>0</v>
      </c>
      <c r="L51" s="45">
        <f t="shared" si="3"/>
        <v>0</v>
      </c>
      <c r="M51" s="46">
        <f t="shared" si="4"/>
        <v>0</v>
      </c>
      <c r="N51" s="74"/>
      <c r="O51" s="17"/>
      <c r="Q51" s="3"/>
    </row>
    <row r="52" spans="2:17" ht="17.45" customHeight="1" x14ac:dyDescent="0.2">
      <c r="B52" s="270"/>
      <c r="C52" s="246"/>
      <c r="D52" s="6"/>
      <c r="E52" s="124" t="s">
        <v>65</v>
      </c>
      <c r="F52" s="247"/>
      <c r="G52" s="8"/>
      <c r="H52" s="59"/>
      <c r="I52" s="9">
        <f t="shared" si="0"/>
        <v>0</v>
      </c>
      <c r="J52" s="45">
        <f t="shared" si="1"/>
        <v>0</v>
      </c>
      <c r="K52" s="45">
        <f t="shared" si="2"/>
        <v>0</v>
      </c>
      <c r="L52" s="45">
        <f t="shared" si="3"/>
        <v>0</v>
      </c>
      <c r="M52" s="46">
        <f t="shared" si="4"/>
        <v>0</v>
      </c>
      <c r="N52" s="74"/>
      <c r="O52" s="17"/>
      <c r="Q52" s="3"/>
    </row>
    <row r="53" spans="2:17" ht="17.45" customHeight="1" x14ac:dyDescent="0.2">
      <c r="B53" s="270"/>
      <c r="C53" s="246"/>
      <c r="D53" s="6"/>
      <c r="E53" s="124" t="s">
        <v>65</v>
      </c>
      <c r="F53" s="247"/>
      <c r="G53" s="8"/>
      <c r="H53" s="59"/>
      <c r="I53" s="9">
        <f t="shared" si="0"/>
        <v>0</v>
      </c>
      <c r="J53" s="45">
        <f t="shared" si="1"/>
        <v>0</v>
      </c>
      <c r="K53" s="45">
        <f t="shared" si="2"/>
        <v>0</v>
      </c>
      <c r="L53" s="45">
        <f t="shared" si="3"/>
        <v>0</v>
      </c>
      <c r="M53" s="46">
        <f t="shared" si="4"/>
        <v>0</v>
      </c>
      <c r="N53" s="74"/>
      <c r="O53" s="17"/>
      <c r="Q53" s="3"/>
    </row>
    <row r="54" spans="2:17" ht="17.45" customHeight="1" x14ac:dyDescent="0.2">
      <c r="B54" s="270"/>
      <c r="C54" s="246"/>
      <c r="D54" s="6"/>
      <c r="E54" s="124" t="s">
        <v>65</v>
      </c>
      <c r="F54" s="247"/>
      <c r="G54" s="8"/>
      <c r="H54" s="59"/>
      <c r="I54" s="9">
        <f t="shared" si="0"/>
        <v>0</v>
      </c>
      <c r="J54" s="45">
        <f t="shared" si="1"/>
        <v>0</v>
      </c>
      <c r="K54" s="45">
        <f t="shared" si="2"/>
        <v>0</v>
      </c>
      <c r="L54" s="45">
        <f t="shared" si="3"/>
        <v>0</v>
      </c>
      <c r="M54" s="46">
        <f t="shared" si="4"/>
        <v>0</v>
      </c>
      <c r="N54" s="74"/>
      <c r="O54" s="17"/>
      <c r="Q54" s="3"/>
    </row>
    <row r="55" spans="2:17" ht="17.45" customHeight="1" x14ac:dyDescent="0.2">
      <c r="B55" s="270"/>
      <c r="C55" s="246"/>
      <c r="D55" s="6"/>
      <c r="E55" s="124" t="s">
        <v>65</v>
      </c>
      <c r="F55" s="247"/>
      <c r="G55" s="8"/>
      <c r="H55" s="59"/>
      <c r="I55" s="9">
        <f t="shared" si="0"/>
        <v>0</v>
      </c>
      <c r="J55" s="45">
        <f t="shared" si="1"/>
        <v>0</v>
      </c>
      <c r="K55" s="45">
        <f t="shared" si="2"/>
        <v>0</v>
      </c>
      <c r="L55" s="45">
        <f t="shared" si="3"/>
        <v>0</v>
      </c>
      <c r="M55" s="46">
        <f t="shared" si="4"/>
        <v>0</v>
      </c>
      <c r="N55" s="74"/>
      <c r="O55" s="17"/>
      <c r="Q55" s="3"/>
    </row>
    <row r="56" spans="2:17" ht="17.45" customHeight="1" thickBot="1" x14ac:dyDescent="0.25">
      <c r="B56" s="270"/>
      <c r="C56" s="246"/>
      <c r="D56" s="6"/>
      <c r="E56" s="124" t="s">
        <v>65</v>
      </c>
      <c r="F56" s="247"/>
      <c r="G56" s="8"/>
      <c r="H56" s="59"/>
      <c r="I56" s="9">
        <f t="shared" si="0"/>
        <v>0</v>
      </c>
      <c r="J56" s="45">
        <f t="shared" si="1"/>
        <v>0</v>
      </c>
      <c r="K56" s="45">
        <f t="shared" si="2"/>
        <v>0</v>
      </c>
      <c r="L56" s="45">
        <f t="shared" si="3"/>
        <v>0</v>
      </c>
      <c r="M56" s="46">
        <f t="shared" si="4"/>
        <v>0</v>
      </c>
      <c r="N56" s="74"/>
      <c r="O56" s="17"/>
      <c r="Q56" s="3"/>
    </row>
    <row r="57" spans="2:17" ht="17.45" customHeight="1" thickTop="1" thickBot="1" x14ac:dyDescent="0.25">
      <c r="B57" s="271"/>
      <c r="C57" s="267"/>
      <c r="D57" s="268"/>
      <c r="E57" s="268"/>
      <c r="F57" s="268"/>
      <c r="G57" s="232"/>
      <c r="H57" s="233" t="s">
        <v>245</v>
      </c>
      <c r="I57" s="220">
        <f>SUM(I37:I56)</f>
        <v>0</v>
      </c>
      <c r="J57" s="223">
        <f>SUM(J37:J56)</f>
        <v>0</v>
      </c>
      <c r="K57" s="224">
        <f>SUM(K37:K56)</f>
        <v>0</v>
      </c>
      <c r="L57" s="224">
        <f>SUM(L37:L56)</f>
        <v>0</v>
      </c>
      <c r="M57" s="223">
        <f>SUM(M37:M56)</f>
        <v>0</v>
      </c>
      <c r="N57" s="74"/>
      <c r="Q57" s="3"/>
    </row>
    <row r="58" spans="2:17" ht="15.6" customHeight="1" thickBot="1" x14ac:dyDescent="0.25">
      <c r="B58" s="235"/>
      <c r="C58" s="236"/>
      <c r="D58" s="221"/>
      <c r="E58" s="221"/>
      <c r="F58" s="221"/>
      <c r="G58" s="221"/>
      <c r="H58" s="221"/>
      <c r="I58" s="221"/>
      <c r="J58" s="221"/>
      <c r="K58" s="221"/>
      <c r="L58" s="221"/>
      <c r="M58" s="222"/>
      <c r="N58" s="74"/>
      <c r="Q58" s="3"/>
    </row>
    <row r="59" spans="2:17" ht="18.75" customHeight="1" thickBot="1" x14ac:dyDescent="0.3">
      <c r="B59" s="269" t="s">
        <v>256</v>
      </c>
      <c r="C59" s="282"/>
      <c r="D59" s="283"/>
      <c r="E59" s="283"/>
      <c r="F59" s="283"/>
      <c r="G59" s="283"/>
      <c r="H59" s="283"/>
      <c r="I59" s="280" t="s">
        <v>272</v>
      </c>
      <c r="J59" s="280"/>
      <c r="K59" s="280"/>
      <c r="L59" s="281"/>
      <c r="M59" s="234">
        <f>M60+M64+M69</f>
        <v>0</v>
      </c>
    </row>
    <row r="60" spans="2:17" ht="15.6" customHeight="1" x14ac:dyDescent="0.2">
      <c r="B60" s="270"/>
      <c r="C60" s="257" t="s">
        <v>24</v>
      </c>
      <c r="D60" s="258"/>
      <c r="E60" s="258"/>
      <c r="F60" s="258"/>
      <c r="G60" s="258"/>
      <c r="H60" s="258"/>
      <c r="I60" s="258"/>
      <c r="J60" s="258"/>
      <c r="K60" s="258"/>
      <c r="L60" s="50" t="s">
        <v>0</v>
      </c>
      <c r="M60" s="20">
        <f>SUM(M61:M62)</f>
        <v>0</v>
      </c>
      <c r="N60" s="75"/>
    </row>
    <row r="61" spans="2:17" ht="15.6" customHeight="1" x14ac:dyDescent="0.2">
      <c r="B61" s="270"/>
      <c r="C61" s="250" t="s">
        <v>246</v>
      </c>
      <c r="D61" s="47"/>
      <c r="E61" s="47"/>
      <c r="F61" s="47"/>
      <c r="G61" s="47"/>
      <c r="H61" s="47"/>
      <c r="I61" s="47"/>
      <c r="J61" s="47"/>
      <c r="K61" s="47"/>
      <c r="L61" s="48"/>
      <c r="M61" s="14">
        <v>0</v>
      </c>
      <c r="N61" s="76"/>
    </row>
    <row r="62" spans="2:17" ht="15.6" customHeight="1" thickBot="1" x14ac:dyDescent="0.25">
      <c r="B62" s="270"/>
      <c r="C62" s="251" t="s">
        <v>254</v>
      </c>
      <c r="D62" s="252"/>
      <c r="E62" s="252"/>
      <c r="F62" s="252"/>
      <c r="G62" s="252"/>
      <c r="H62" s="252"/>
      <c r="I62" s="252"/>
      <c r="J62" s="252"/>
      <c r="K62" s="252"/>
      <c r="L62" s="253"/>
      <c r="M62" s="19">
        <v>0</v>
      </c>
      <c r="N62" s="76"/>
    </row>
    <row r="63" spans="2:17" ht="15.6" customHeight="1" thickBot="1" x14ac:dyDescent="0.25">
      <c r="B63" s="270"/>
      <c r="C63" s="215"/>
      <c r="D63" s="216"/>
      <c r="E63" s="216"/>
      <c r="F63" s="216"/>
      <c r="G63" s="216"/>
      <c r="H63" s="216"/>
      <c r="I63" s="216"/>
      <c r="J63" s="216"/>
      <c r="K63" s="216"/>
      <c r="L63" s="217"/>
      <c r="M63" s="51"/>
      <c r="N63" s="76"/>
    </row>
    <row r="64" spans="2:17" ht="15.6" customHeight="1" x14ac:dyDescent="0.2">
      <c r="B64" s="270"/>
      <c r="C64" s="248" t="s">
        <v>251</v>
      </c>
      <c r="D64" s="249"/>
      <c r="E64" s="249"/>
      <c r="F64" s="249"/>
      <c r="G64" s="249"/>
      <c r="H64" s="249"/>
      <c r="I64" s="249"/>
      <c r="J64" s="249"/>
      <c r="K64" s="249"/>
      <c r="L64" s="50" t="s">
        <v>0</v>
      </c>
      <c r="M64" s="20">
        <f>SUM(M65:M67)</f>
        <v>0</v>
      </c>
      <c r="N64" s="76"/>
    </row>
    <row r="65" spans="2:15" ht="15.6" customHeight="1" x14ac:dyDescent="0.2">
      <c r="B65" s="270"/>
      <c r="C65" s="250" t="s">
        <v>268</v>
      </c>
      <c r="D65" s="47"/>
      <c r="E65" s="47"/>
      <c r="F65" s="47"/>
      <c r="G65" s="47"/>
      <c r="H65" s="47"/>
      <c r="I65" s="47"/>
      <c r="J65" s="47"/>
      <c r="K65" s="47"/>
      <c r="L65" s="48"/>
      <c r="M65" s="18">
        <v>0</v>
      </c>
      <c r="N65" s="76"/>
    </row>
    <row r="66" spans="2:15" ht="15.6" customHeight="1" x14ac:dyDescent="0.2">
      <c r="B66" s="270"/>
      <c r="C66" s="250" t="s">
        <v>269</v>
      </c>
      <c r="D66" s="47"/>
      <c r="E66" s="47"/>
      <c r="F66" s="47"/>
      <c r="G66" s="47"/>
      <c r="H66" s="47"/>
      <c r="I66" s="47"/>
      <c r="J66" s="47"/>
      <c r="K66" s="47"/>
      <c r="L66" s="48"/>
      <c r="M66" s="12">
        <v>0</v>
      </c>
      <c r="N66" s="76"/>
    </row>
    <row r="67" spans="2:15" ht="15.6" customHeight="1" thickBot="1" x14ac:dyDescent="0.25">
      <c r="B67" s="270"/>
      <c r="C67" s="251" t="s">
        <v>270</v>
      </c>
      <c r="D67" s="252"/>
      <c r="E67" s="252"/>
      <c r="F67" s="252"/>
      <c r="G67" s="252"/>
      <c r="H67" s="252"/>
      <c r="I67" s="252"/>
      <c r="J67" s="252"/>
      <c r="K67" s="252"/>
      <c r="L67" s="253"/>
      <c r="M67" s="219">
        <v>0</v>
      </c>
      <c r="N67" s="76"/>
    </row>
    <row r="68" spans="2:15" ht="15.6" customHeight="1" thickBot="1" x14ac:dyDescent="0.25">
      <c r="B68" s="270"/>
      <c r="C68" s="215"/>
      <c r="D68" s="216"/>
      <c r="E68" s="216"/>
      <c r="F68" s="216"/>
      <c r="G68" s="216"/>
      <c r="H68" s="216"/>
      <c r="I68" s="216"/>
      <c r="J68" s="216"/>
      <c r="K68" s="216"/>
      <c r="L68" s="217"/>
      <c r="M68" s="218"/>
      <c r="N68" s="76"/>
    </row>
    <row r="69" spans="2:15" ht="15.6" customHeight="1" x14ac:dyDescent="0.2">
      <c r="B69" s="270"/>
      <c r="C69" s="257" t="s">
        <v>247</v>
      </c>
      <c r="D69" s="258"/>
      <c r="E69" s="258"/>
      <c r="F69" s="258"/>
      <c r="G69" s="258"/>
      <c r="H69" s="258"/>
      <c r="I69" s="258"/>
      <c r="J69" s="258"/>
      <c r="K69" s="258"/>
      <c r="L69" s="50" t="s">
        <v>0</v>
      </c>
      <c r="M69" s="20">
        <f>SUM(M70:M80)</f>
        <v>0</v>
      </c>
      <c r="N69" s="76"/>
    </row>
    <row r="70" spans="2:15" ht="15.6" customHeight="1" x14ac:dyDescent="0.2">
      <c r="B70" s="270"/>
      <c r="C70" s="250" t="s">
        <v>249</v>
      </c>
      <c r="D70" s="47"/>
      <c r="E70" s="47"/>
      <c r="F70" s="47"/>
      <c r="G70" s="47"/>
      <c r="H70" s="47"/>
      <c r="I70" s="47"/>
      <c r="J70" s="47"/>
      <c r="K70" s="47"/>
      <c r="L70" s="48"/>
      <c r="M70" s="16">
        <v>0</v>
      </c>
      <c r="N70" s="76"/>
    </row>
    <row r="71" spans="2:15" ht="15.6" customHeight="1" x14ac:dyDescent="0.2">
      <c r="B71" s="270"/>
      <c r="C71" s="250" t="s">
        <v>182</v>
      </c>
      <c r="D71" s="47"/>
      <c r="E71" s="47"/>
      <c r="F71" s="47"/>
      <c r="G71" s="47"/>
      <c r="H71" s="47"/>
      <c r="I71" s="47"/>
      <c r="J71" s="47"/>
      <c r="K71" s="47"/>
      <c r="L71" s="48"/>
      <c r="M71" s="16">
        <v>0</v>
      </c>
      <c r="N71" s="76"/>
    </row>
    <row r="72" spans="2:15" ht="15.6" customHeight="1" x14ac:dyDescent="0.2">
      <c r="B72" s="270"/>
      <c r="C72" s="47" t="s">
        <v>250</v>
      </c>
      <c r="D72" s="47"/>
      <c r="E72" s="47"/>
      <c r="F72" s="47"/>
      <c r="G72" s="47"/>
      <c r="H72" s="47"/>
      <c r="I72" s="47"/>
      <c r="J72" s="47"/>
      <c r="K72" s="47"/>
      <c r="L72" s="48"/>
      <c r="M72" s="16">
        <v>0</v>
      </c>
      <c r="N72" s="76"/>
    </row>
    <row r="73" spans="2:15" ht="15.6" customHeight="1" x14ac:dyDescent="0.2">
      <c r="B73" s="270"/>
      <c r="C73" s="250" t="s">
        <v>253</v>
      </c>
      <c r="D73" s="47"/>
      <c r="E73" s="47"/>
      <c r="F73" s="47"/>
      <c r="G73" s="47"/>
      <c r="H73" s="47"/>
      <c r="I73" s="47"/>
      <c r="J73" s="47"/>
      <c r="K73" s="47"/>
      <c r="L73" s="48"/>
      <c r="M73" s="125">
        <v>0</v>
      </c>
      <c r="N73" s="76"/>
    </row>
    <row r="74" spans="2:15" ht="15.6" customHeight="1" x14ac:dyDescent="0.2">
      <c r="B74" s="270"/>
      <c r="C74" s="250" t="s">
        <v>248</v>
      </c>
      <c r="D74" s="47"/>
      <c r="E74" s="47"/>
      <c r="F74" s="47"/>
      <c r="G74" s="47"/>
      <c r="H74" s="47"/>
      <c r="I74" s="47"/>
      <c r="J74" s="47"/>
      <c r="K74" s="47"/>
      <c r="L74" s="48"/>
      <c r="M74" s="125">
        <v>0</v>
      </c>
      <c r="N74" s="76"/>
    </row>
    <row r="75" spans="2:15" ht="15.6" customHeight="1" x14ac:dyDescent="0.2">
      <c r="B75" s="270"/>
      <c r="C75" s="254" t="s">
        <v>255</v>
      </c>
      <c r="D75" s="255"/>
      <c r="E75" s="255"/>
      <c r="F75" s="255"/>
      <c r="G75" s="255"/>
      <c r="H75" s="255"/>
      <c r="I75" s="255"/>
      <c r="J75" s="255"/>
      <c r="K75" s="255"/>
      <c r="L75" s="256"/>
      <c r="M75" s="125">
        <v>0</v>
      </c>
      <c r="N75" s="76"/>
      <c r="O75" s="17"/>
    </row>
    <row r="76" spans="2:15" ht="15.6" customHeight="1" x14ac:dyDescent="0.2">
      <c r="B76" s="270"/>
      <c r="C76" s="250" t="s">
        <v>184</v>
      </c>
      <c r="D76" s="47"/>
      <c r="E76" s="47"/>
      <c r="F76" s="47"/>
      <c r="G76" s="47"/>
      <c r="H76" s="47"/>
      <c r="I76" s="47"/>
      <c r="J76" s="47"/>
      <c r="K76" s="47"/>
      <c r="L76" s="48"/>
      <c r="M76" s="16">
        <v>0</v>
      </c>
      <c r="N76" s="75"/>
    </row>
    <row r="77" spans="2:15" ht="15.6" customHeight="1" x14ac:dyDescent="0.2">
      <c r="B77" s="270"/>
      <c r="C77" s="47" t="s">
        <v>185</v>
      </c>
      <c r="D77" s="47"/>
      <c r="E77" s="47"/>
      <c r="F77" s="47"/>
      <c r="G77" s="47"/>
      <c r="H77" s="47"/>
      <c r="I77" s="47"/>
      <c r="J77" s="47"/>
      <c r="K77" s="47"/>
      <c r="L77" s="48"/>
      <c r="M77" s="16">
        <v>0</v>
      </c>
      <c r="N77" s="76"/>
    </row>
    <row r="78" spans="2:15" ht="15.6" customHeight="1" x14ac:dyDescent="0.2">
      <c r="B78" s="270"/>
      <c r="C78" s="250" t="s">
        <v>252</v>
      </c>
      <c r="D78" s="47"/>
      <c r="E78" s="47"/>
      <c r="F78" s="47"/>
      <c r="G78" s="47"/>
      <c r="H78" s="47"/>
      <c r="I78" s="47"/>
      <c r="J78" s="47"/>
      <c r="K78" s="47"/>
      <c r="L78" s="48"/>
      <c r="M78" s="15">
        <v>0</v>
      </c>
      <c r="N78" s="76"/>
    </row>
    <row r="79" spans="2:15" ht="15.6" customHeight="1" x14ac:dyDescent="0.2">
      <c r="B79" s="270"/>
      <c r="C79" s="47" t="s">
        <v>267</v>
      </c>
      <c r="D79" s="47"/>
      <c r="E79" s="47"/>
      <c r="F79" s="47"/>
      <c r="G79" s="47"/>
      <c r="H79" s="47"/>
      <c r="I79" s="47"/>
      <c r="J79" s="47"/>
      <c r="K79" s="47"/>
      <c r="L79" s="48"/>
      <c r="M79" s="16">
        <v>0</v>
      </c>
      <c r="N79" s="76"/>
    </row>
    <row r="80" spans="2:15" ht="15.6" customHeight="1" thickBot="1" x14ac:dyDescent="0.25">
      <c r="B80" s="271"/>
      <c r="C80" s="251" t="s">
        <v>267</v>
      </c>
      <c r="D80" s="252"/>
      <c r="E80" s="252"/>
      <c r="F80" s="252"/>
      <c r="G80" s="252"/>
      <c r="H80" s="252"/>
      <c r="I80" s="252"/>
      <c r="J80" s="252"/>
      <c r="K80" s="252"/>
      <c r="L80" s="253"/>
      <c r="M80" s="19">
        <v>0</v>
      </c>
      <c r="N80" s="76"/>
    </row>
    <row r="81" spans="2:25" ht="15.6" customHeight="1" thickBot="1" x14ac:dyDescent="0.25">
      <c r="B81" s="284"/>
      <c r="C81" s="284"/>
      <c r="D81" s="284"/>
      <c r="E81" s="284"/>
      <c r="F81" s="284"/>
      <c r="G81" s="284"/>
      <c r="H81" s="284"/>
      <c r="I81" s="284"/>
      <c r="J81" s="284"/>
      <c r="K81" s="284"/>
      <c r="L81" s="284"/>
      <c r="M81" s="284"/>
      <c r="N81" s="65"/>
      <c r="S81" s="17"/>
      <c r="T81" s="17"/>
      <c r="U81" s="17"/>
      <c r="V81" s="17"/>
      <c r="W81" s="17"/>
      <c r="X81" s="17"/>
      <c r="Y81" s="17"/>
    </row>
    <row r="82" spans="2:25" ht="48" customHeight="1" thickBot="1" x14ac:dyDescent="0.25">
      <c r="B82" s="266"/>
      <c r="C82" s="266"/>
      <c r="D82" s="266"/>
      <c r="E82" s="266"/>
      <c r="F82" s="266"/>
      <c r="G82" s="266"/>
      <c r="H82" s="1"/>
      <c r="I82" s="1"/>
      <c r="J82" s="293"/>
      <c r="K82" s="291" t="s">
        <v>258</v>
      </c>
      <c r="L82" s="294"/>
      <c r="M82" s="292">
        <f>M35+M59</f>
        <v>0</v>
      </c>
      <c r="N82" s="65"/>
    </row>
    <row r="83" spans="2:25" ht="18" customHeight="1" x14ac:dyDescent="0.2">
      <c r="B83" s="266"/>
      <c r="C83" s="266"/>
      <c r="D83" s="266"/>
      <c r="E83" s="266"/>
      <c r="F83" s="266"/>
      <c r="G83" s="266"/>
      <c r="H83" s="77"/>
      <c r="I83" s="1"/>
    </row>
    <row r="84" spans="2:25" ht="17.100000000000001" customHeight="1" x14ac:dyDescent="0.25">
      <c r="B84" s="266"/>
      <c r="C84" s="266"/>
      <c r="D84" s="266"/>
      <c r="E84" s="266"/>
      <c r="F84" s="266"/>
      <c r="G84" s="266"/>
      <c r="H84" s="81"/>
      <c r="I84" s="1"/>
    </row>
    <row r="85" spans="2:25" ht="17.100000000000001" customHeight="1" x14ac:dyDescent="0.25">
      <c r="B85" s="266"/>
      <c r="C85" s="266"/>
      <c r="D85" s="266"/>
      <c r="E85" s="266"/>
      <c r="F85" s="266"/>
      <c r="G85" s="266"/>
      <c r="H85" s="81"/>
      <c r="I85" s="55"/>
    </row>
  </sheetData>
  <sheetProtection insertRows="0"/>
  <conditionalFormatting sqref="H37:H57">
    <cfRule type="expression" dxfId="6" priority="1">
      <formula>E37&lt;&gt;"Hourly"</formula>
    </cfRule>
  </conditionalFormatting>
  <dataValidations count="1">
    <dataValidation type="list" allowBlank="1" showInputMessage="1" showErrorMessage="1" sqref="E37:E56" xr:uid="{00000000-0002-0000-0000-000000000000}">
      <formula1>$C$11:$C$17</formula1>
    </dataValidation>
  </dataValidations>
  <printOptions horizontalCentered="1" verticalCentered="1"/>
  <pageMargins left="0.25" right="0.25" top="0.5" bottom="0.5" header="0" footer="0"/>
  <pageSetup scale="62" orientation="portrait" r:id="rId1"/>
  <headerFooter alignWithMargins="0">
    <oddFooter xml:space="preserve">&amp;R&amp;K000000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47D3E-6AE5-4869-B0F9-D62DD5B60342}">
  <sheetPr>
    <pageSetUpPr fitToPage="1"/>
  </sheetPr>
  <dimension ref="B1:Y85"/>
  <sheetViews>
    <sheetView zoomScale="85" zoomScaleNormal="85" zoomScalePageLayoutView="85" workbookViewId="0">
      <selection activeCell="M9" sqref="M9"/>
    </sheetView>
  </sheetViews>
  <sheetFormatPr defaultColWidth="8.85546875" defaultRowHeight="12.75" x14ac:dyDescent="0.2"/>
  <cols>
    <col min="1" max="1" width="1.5703125" style="1" customWidth="1"/>
    <col min="2" max="2" width="8.5703125" style="1" customWidth="1"/>
    <col min="3" max="3" width="28.5703125" style="1" customWidth="1"/>
    <col min="4" max="4" width="22.28515625" style="1" customWidth="1"/>
    <col min="5" max="5" width="14.7109375" style="1" customWidth="1"/>
    <col min="6" max="6" width="15.5703125" style="1" customWidth="1"/>
    <col min="7" max="7" width="13.28515625" style="1" customWidth="1"/>
    <col min="8" max="8" width="11.7109375" style="2" customWidth="1"/>
    <col min="9" max="9" width="13" style="2" customWidth="1"/>
    <col min="10" max="11" width="12.85546875" style="1" customWidth="1"/>
    <col min="12" max="12" width="13.85546875" style="1" bestFit="1" customWidth="1"/>
    <col min="13" max="13" width="14" style="1" customWidth="1"/>
    <col min="14" max="14" width="12" style="1" customWidth="1"/>
    <col min="15" max="15" width="35.42578125" style="1" customWidth="1"/>
    <col min="16" max="16" width="14.28515625" style="1" customWidth="1"/>
    <col min="17" max="16384" width="8.85546875" style="1"/>
  </cols>
  <sheetData>
    <row r="1" spans="2:16" s="4" customFormat="1" ht="21.95" customHeight="1" x14ac:dyDescent="0.2">
      <c r="B1" s="259" t="s">
        <v>11</v>
      </c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67"/>
    </row>
    <row r="2" spans="2:16" s="4" customFormat="1" ht="21.95" customHeight="1" thickBot="1" x14ac:dyDescent="0.25">
      <c r="B2" s="287" t="s">
        <v>244</v>
      </c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68"/>
    </row>
    <row r="3" spans="2:16" s="4" customFormat="1" ht="12" customHeight="1" x14ac:dyDescent="0.25">
      <c r="B3" s="260"/>
      <c r="C3" s="261"/>
      <c r="D3" s="264"/>
      <c r="E3" s="264"/>
      <c r="F3" s="56"/>
      <c r="G3" s="148"/>
      <c r="H3" s="148"/>
      <c r="I3" s="148"/>
      <c r="J3" s="148"/>
      <c r="K3" s="274"/>
      <c r="L3" s="274"/>
      <c r="M3" s="275"/>
      <c r="N3" s="69"/>
      <c r="O3" s="198"/>
    </row>
    <row r="4" spans="2:16" ht="12" customHeight="1" x14ac:dyDescent="0.25">
      <c r="B4" s="262"/>
      <c r="C4" s="279"/>
      <c r="D4" s="286"/>
      <c r="E4" s="286"/>
      <c r="F4" s="152"/>
      <c r="G4" s="149"/>
      <c r="H4" s="149"/>
      <c r="I4" s="149"/>
      <c r="J4" s="149"/>
      <c r="K4" s="272"/>
      <c r="L4" s="272"/>
      <c r="M4" s="273"/>
      <c r="N4" s="70"/>
    </row>
    <row r="5" spans="2:16" ht="18" customHeight="1" x14ac:dyDescent="0.25">
      <c r="B5" s="240" t="s">
        <v>14</v>
      </c>
      <c r="C5" s="241"/>
      <c r="D5" s="241"/>
      <c r="E5" s="241"/>
      <c r="G5" s="120"/>
      <c r="H5" s="101"/>
      <c r="I5" s="265" t="s">
        <v>12</v>
      </c>
      <c r="J5" s="263">
        <v>46301</v>
      </c>
      <c r="K5" s="238"/>
      <c r="L5" s="225"/>
      <c r="M5" s="226"/>
      <c r="N5" s="71"/>
      <c r="O5" s="5"/>
      <c r="P5" s="5"/>
    </row>
    <row r="6" spans="2:16" ht="12" customHeight="1" x14ac:dyDescent="0.25">
      <c r="B6" s="240"/>
      <c r="C6" s="120"/>
      <c r="D6" s="244"/>
      <c r="E6" s="244"/>
      <c r="F6" s="244"/>
      <c r="G6" s="244"/>
      <c r="H6" s="244"/>
      <c r="I6" s="265"/>
      <c r="J6" s="238"/>
      <c r="K6" s="227"/>
      <c r="M6" s="228"/>
    </row>
    <row r="7" spans="2:16" ht="25.5" customHeight="1" x14ac:dyDescent="0.25">
      <c r="B7" s="240" t="s">
        <v>6</v>
      </c>
      <c r="C7" s="241"/>
      <c r="D7" s="289"/>
      <c r="E7" s="289"/>
      <c r="F7" s="244"/>
      <c r="G7" s="244"/>
      <c r="H7" s="244"/>
      <c r="I7" s="265" t="s">
        <v>13</v>
      </c>
      <c r="J7" s="263">
        <v>46477</v>
      </c>
      <c r="K7" s="238"/>
      <c r="L7" s="227"/>
      <c r="M7" s="228"/>
      <c r="N7" s="72"/>
    </row>
    <row r="8" spans="2:16" ht="12.75" customHeight="1" x14ac:dyDescent="0.25">
      <c r="B8" s="240"/>
      <c r="C8" s="120"/>
      <c r="D8" s="244"/>
      <c r="E8" s="244"/>
      <c r="F8" s="244"/>
      <c r="G8" s="244"/>
      <c r="H8" s="244"/>
      <c r="I8" s="265"/>
      <c r="J8" s="238"/>
      <c r="K8" s="227"/>
      <c r="M8" s="228"/>
    </row>
    <row r="9" spans="2:16" ht="12" customHeight="1" thickBot="1" x14ac:dyDescent="0.3">
      <c r="B9" s="242"/>
      <c r="C9" s="243"/>
      <c r="D9" s="245"/>
      <c r="E9" s="245"/>
      <c r="F9" s="245"/>
      <c r="G9" s="245"/>
      <c r="H9" s="245"/>
      <c r="I9" s="153"/>
      <c r="J9" s="153"/>
      <c r="K9" s="239"/>
      <c r="L9" s="229"/>
      <c r="M9" s="230"/>
      <c r="N9" s="72"/>
    </row>
    <row r="10" spans="2:16" ht="13.5" hidden="1" customHeight="1" thickBot="1" x14ac:dyDescent="0.25">
      <c r="C10" s="52"/>
      <c r="D10" s="52"/>
      <c r="E10" s="89" t="s">
        <v>173</v>
      </c>
      <c r="F10" s="90" t="s">
        <v>67</v>
      </c>
      <c r="G10" s="90" t="s">
        <v>65</v>
      </c>
      <c r="H10" s="91" t="s">
        <v>71</v>
      </c>
      <c r="I10" s="52"/>
      <c r="J10" s="52"/>
      <c r="K10" s="52"/>
      <c r="L10" s="60" t="s">
        <v>26</v>
      </c>
      <c r="M10" s="61">
        <v>0</v>
      </c>
      <c r="N10" s="66"/>
    </row>
    <row r="11" spans="2:16" ht="12.75" hidden="1" customHeight="1" x14ac:dyDescent="0.2">
      <c r="C11" s="89" t="s">
        <v>259</v>
      </c>
      <c r="D11" s="191"/>
      <c r="E11" s="96" t="str">
        <f>L10</f>
        <v>Select One</v>
      </c>
      <c r="F11" s="52" t="str">
        <f>L10</f>
        <v>Select One</v>
      </c>
      <c r="G11" s="52" t="str">
        <f>L10</f>
        <v>Select One</v>
      </c>
      <c r="H11" s="93" t="str">
        <f>L10</f>
        <v>Select One</v>
      </c>
      <c r="I11" s="89" t="e">
        <f>C11&amp;#REF!</f>
        <v>#REF!</v>
      </c>
      <c r="J11" s="99" t="e">
        <f>#REF!</f>
        <v>#REF!</v>
      </c>
      <c r="K11" s="100">
        <v>0.18</v>
      </c>
      <c r="L11" s="91">
        <v>100</v>
      </c>
      <c r="M11" s="52"/>
    </row>
    <row r="12" spans="2:16" ht="12.75" hidden="1" customHeight="1" x14ac:dyDescent="0.2">
      <c r="C12" s="92" t="s">
        <v>260</v>
      </c>
      <c r="D12" s="191"/>
      <c r="E12" s="97" t="e">
        <f>#REF!</f>
        <v>#REF!</v>
      </c>
      <c r="F12" s="53" t="e">
        <f>#REF!</f>
        <v>#REF!</v>
      </c>
      <c r="G12" s="52"/>
      <c r="H12" s="93" t="s">
        <v>69</v>
      </c>
      <c r="I12" s="92" t="str">
        <f>C11&amp;K7</f>
        <v>Faculty</v>
      </c>
      <c r="J12" s="62">
        <f>L7</f>
        <v>0</v>
      </c>
      <c r="K12" s="63">
        <v>0.18</v>
      </c>
      <c r="L12" s="93">
        <v>100</v>
      </c>
      <c r="M12" s="52"/>
    </row>
    <row r="13" spans="2:16" ht="12.75" hidden="1" customHeight="1" x14ac:dyDescent="0.2">
      <c r="C13" s="92" t="s">
        <v>261</v>
      </c>
      <c r="D13" s="191"/>
      <c r="E13" s="97">
        <f>K7</f>
        <v>0</v>
      </c>
      <c r="F13" s="53">
        <f>K7</f>
        <v>0</v>
      </c>
      <c r="G13" s="52"/>
      <c r="H13" s="93"/>
      <c r="I13" s="92" t="str">
        <f>C11&amp;J8</f>
        <v>Faculty</v>
      </c>
      <c r="J13" s="62">
        <f>K8</f>
        <v>0</v>
      </c>
      <c r="K13" s="63">
        <v>0.18</v>
      </c>
      <c r="L13" s="93">
        <v>100</v>
      </c>
      <c r="M13" s="52"/>
    </row>
    <row r="14" spans="2:16" ht="12.75" hidden="1" customHeight="1" x14ac:dyDescent="0.2">
      <c r="C14" s="92" t="s">
        <v>262</v>
      </c>
      <c r="D14" s="191"/>
      <c r="E14" s="97">
        <f>J8</f>
        <v>0</v>
      </c>
      <c r="F14" s="53">
        <f>J8</f>
        <v>0</v>
      </c>
      <c r="G14" s="52"/>
      <c r="H14" s="93"/>
      <c r="I14" s="92" t="str">
        <f>C11&amp;K9</f>
        <v>Faculty</v>
      </c>
      <c r="J14" s="62">
        <f>L9</f>
        <v>0</v>
      </c>
      <c r="K14" s="63">
        <v>0.18</v>
      </c>
      <c r="L14" s="93">
        <v>100</v>
      </c>
      <c r="M14" s="52"/>
    </row>
    <row r="15" spans="2:16" ht="12.75" hidden="1" customHeight="1" x14ac:dyDescent="0.2">
      <c r="C15" s="92" t="s">
        <v>71</v>
      </c>
      <c r="D15" s="191"/>
      <c r="E15" s="97">
        <f>K9</f>
        <v>0</v>
      </c>
      <c r="F15" s="53">
        <f>K9</f>
        <v>0</v>
      </c>
      <c r="G15" s="52"/>
      <c r="H15" s="93"/>
      <c r="I15" s="92" t="e">
        <f>C12&amp;#REF!</f>
        <v>#REF!</v>
      </c>
      <c r="J15" s="62" t="e">
        <f>#REF!</f>
        <v>#REF!</v>
      </c>
      <c r="K15" s="63">
        <v>0.18</v>
      </c>
      <c r="L15" s="93">
        <v>100</v>
      </c>
      <c r="M15" s="52"/>
    </row>
    <row r="16" spans="2:16" ht="13.5" hidden="1" customHeight="1" thickBot="1" x14ac:dyDescent="0.25">
      <c r="C16" s="237" t="s">
        <v>273</v>
      </c>
      <c r="D16" s="191"/>
      <c r="E16" s="94" t="s">
        <v>69</v>
      </c>
      <c r="F16" s="190" t="s">
        <v>69</v>
      </c>
      <c r="G16" s="98"/>
      <c r="H16" s="95"/>
      <c r="I16" s="92" t="str">
        <f>C12&amp;K7</f>
        <v>Staff</v>
      </c>
      <c r="J16" s="62">
        <f>L7</f>
        <v>0</v>
      </c>
      <c r="K16" s="63">
        <v>0.18</v>
      </c>
      <c r="L16" s="93">
        <v>100</v>
      </c>
      <c r="M16" s="52"/>
    </row>
    <row r="17" spans="3:13" ht="13.5" hidden="1" customHeight="1" thickBot="1" x14ac:dyDescent="0.25">
      <c r="C17" s="94" t="s">
        <v>65</v>
      </c>
      <c r="D17" s="52"/>
      <c r="E17" s="52"/>
      <c r="F17" s="52"/>
      <c r="G17" s="52"/>
      <c r="H17" s="52"/>
      <c r="I17" s="92" t="str">
        <f>C12&amp;J8</f>
        <v>Staff</v>
      </c>
      <c r="J17" s="62">
        <f>K8</f>
        <v>0</v>
      </c>
      <c r="K17" s="63">
        <v>0.18</v>
      </c>
      <c r="L17" s="93">
        <v>100</v>
      </c>
      <c r="M17" s="52"/>
    </row>
    <row r="18" spans="3:13" ht="12.75" hidden="1" customHeight="1" x14ac:dyDescent="0.2">
      <c r="C18" s="52"/>
      <c r="D18" s="52"/>
      <c r="E18" s="52"/>
      <c r="F18" s="52"/>
      <c r="G18" s="52"/>
      <c r="H18" s="52"/>
      <c r="I18" s="92" t="str">
        <f>C12&amp;K9</f>
        <v>Staff</v>
      </c>
      <c r="J18" s="62">
        <f>L9</f>
        <v>0</v>
      </c>
      <c r="K18" s="63">
        <v>0.18</v>
      </c>
      <c r="L18" s="93">
        <v>100</v>
      </c>
      <c r="M18" s="52"/>
    </row>
    <row r="19" spans="3:13" ht="12.75" hidden="1" customHeight="1" x14ac:dyDescent="0.2">
      <c r="C19" s="52"/>
      <c r="D19" s="52"/>
      <c r="E19" s="52"/>
      <c r="F19" s="52"/>
      <c r="G19" s="52"/>
      <c r="H19" s="52"/>
      <c r="I19" s="92" t="e">
        <f>C13&amp;#REF!</f>
        <v>#REF!</v>
      </c>
      <c r="J19" s="62" t="e">
        <f>#REF!</f>
        <v>#REF!</v>
      </c>
      <c r="K19" s="63">
        <v>0.18</v>
      </c>
      <c r="L19" s="93">
        <v>50</v>
      </c>
      <c r="M19" s="52"/>
    </row>
    <row r="20" spans="3:13" ht="12.75" hidden="1" customHeight="1" x14ac:dyDescent="0.2">
      <c r="C20" s="52"/>
      <c r="D20" s="52"/>
      <c r="E20" s="52"/>
      <c r="F20" s="52"/>
      <c r="G20" s="52"/>
      <c r="H20" s="52"/>
      <c r="I20" s="92" t="str">
        <f>C13&amp;K7</f>
        <v>TA Salaried</v>
      </c>
      <c r="J20" s="62">
        <f>L7</f>
        <v>0</v>
      </c>
      <c r="K20" s="63">
        <v>0.18</v>
      </c>
      <c r="L20" s="93">
        <v>50</v>
      </c>
      <c r="M20" s="52"/>
    </row>
    <row r="21" spans="3:13" ht="12.75" hidden="1" customHeight="1" x14ac:dyDescent="0.2">
      <c r="C21" s="52"/>
      <c r="D21" s="52"/>
      <c r="E21" s="52"/>
      <c r="F21" s="52"/>
      <c r="G21" s="52"/>
      <c r="H21" s="52"/>
      <c r="I21" s="92" t="str">
        <f>C13&amp;J8</f>
        <v>TA Salaried</v>
      </c>
      <c r="J21" s="62">
        <f>K8</f>
        <v>0</v>
      </c>
      <c r="K21" s="63">
        <v>0.18</v>
      </c>
      <c r="L21" s="93">
        <v>50</v>
      </c>
      <c r="M21" s="52"/>
    </row>
    <row r="22" spans="3:13" ht="12.75" hidden="1" customHeight="1" x14ac:dyDescent="0.2">
      <c r="C22" s="52"/>
      <c r="D22" s="52"/>
      <c r="E22" s="52"/>
      <c r="F22" s="52"/>
      <c r="G22" s="52"/>
      <c r="H22" s="52"/>
      <c r="I22" s="92" t="str">
        <f>C13&amp;K9</f>
        <v>TA Salaried</v>
      </c>
      <c r="J22" s="62">
        <f>L9</f>
        <v>0</v>
      </c>
      <c r="K22" s="63">
        <v>0.18</v>
      </c>
      <c r="L22" s="93">
        <v>50</v>
      </c>
      <c r="M22" s="52"/>
    </row>
    <row r="23" spans="3:13" ht="12.75" hidden="1" customHeight="1" x14ac:dyDescent="0.2">
      <c r="C23" s="52"/>
      <c r="D23" s="52"/>
      <c r="E23" s="52"/>
      <c r="F23" s="52"/>
      <c r="G23" s="52"/>
      <c r="H23" s="52"/>
      <c r="I23" s="92" t="e">
        <f>C14&amp;#REF!</f>
        <v>#REF!</v>
      </c>
      <c r="J23" s="52">
        <v>0</v>
      </c>
      <c r="K23" s="63">
        <v>0.08</v>
      </c>
      <c r="L23" s="93">
        <v>0</v>
      </c>
      <c r="M23" s="52"/>
    </row>
    <row r="24" spans="3:13" ht="12.75" hidden="1" customHeight="1" x14ac:dyDescent="0.2">
      <c r="C24" s="52"/>
      <c r="D24" s="52"/>
      <c r="E24" s="52"/>
      <c r="F24" s="52"/>
      <c r="G24" s="52"/>
      <c r="H24" s="52"/>
      <c r="I24" s="92" t="str">
        <f>C11&amp;L10</f>
        <v>FacultySelect One</v>
      </c>
      <c r="J24" s="52">
        <v>0</v>
      </c>
      <c r="K24" s="63">
        <v>0</v>
      </c>
      <c r="L24" s="93">
        <v>0</v>
      </c>
      <c r="M24" s="52"/>
    </row>
    <row r="25" spans="3:13" ht="12.75" hidden="1" customHeight="1" x14ac:dyDescent="0.2">
      <c r="C25" s="52"/>
      <c r="D25" s="52"/>
      <c r="E25" s="52"/>
      <c r="F25" s="52"/>
      <c r="G25" s="52"/>
      <c r="H25" s="52"/>
      <c r="I25" s="92" t="str">
        <f>C12&amp;L10</f>
        <v>StaffSelect One</v>
      </c>
      <c r="J25" s="52">
        <v>0</v>
      </c>
      <c r="K25" s="63">
        <v>0</v>
      </c>
      <c r="L25" s="93">
        <v>0</v>
      </c>
      <c r="M25" s="52"/>
    </row>
    <row r="26" spans="3:13" ht="12.75" hidden="1" customHeight="1" x14ac:dyDescent="0.2">
      <c r="C26" s="52"/>
      <c r="D26" s="52"/>
      <c r="E26" s="52"/>
      <c r="F26" s="52"/>
      <c r="G26" s="52"/>
      <c r="H26" s="52"/>
      <c r="I26" s="92" t="str">
        <f>C13&amp;L10</f>
        <v>TA SalariedSelect One</v>
      </c>
      <c r="J26" s="52">
        <v>0</v>
      </c>
      <c r="K26" s="63">
        <v>0</v>
      </c>
      <c r="L26" s="93">
        <v>0</v>
      </c>
      <c r="M26" s="52"/>
    </row>
    <row r="27" spans="3:13" ht="12.75" hidden="1" customHeight="1" x14ac:dyDescent="0.2">
      <c r="C27" s="52"/>
      <c r="D27" s="52"/>
      <c r="E27" s="52"/>
      <c r="F27" s="52"/>
      <c r="G27" s="52"/>
      <c r="H27" s="52"/>
      <c r="I27" s="92" t="str">
        <f>C14&amp;L10</f>
        <v>GTA SalariedSelect One</v>
      </c>
      <c r="J27" s="52">
        <v>0</v>
      </c>
      <c r="K27" s="63">
        <v>0</v>
      </c>
      <c r="L27" s="93">
        <v>0</v>
      </c>
      <c r="M27" s="52"/>
    </row>
    <row r="28" spans="3:13" ht="12.75" hidden="1" customHeight="1" x14ac:dyDescent="0.2">
      <c r="C28" s="52"/>
      <c r="D28" s="52"/>
      <c r="E28" s="52"/>
      <c r="F28" s="52"/>
      <c r="G28" s="52"/>
      <c r="H28" s="52"/>
      <c r="I28" s="92" t="str">
        <f>C15&amp;H11</f>
        <v>HourlySelect One</v>
      </c>
      <c r="J28" s="52">
        <v>0</v>
      </c>
      <c r="K28" s="64">
        <v>0</v>
      </c>
      <c r="L28" s="93">
        <v>0</v>
      </c>
      <c r="M28" s="52"/>
    </row>
    <row r="29" spans="3:13" ht="12.75" hidden="1" customHeight="1" x14ac:dyDescent="0.2">
      <c r="C29" s="52"/>
      <c r="D29" s="52"/>
      <c r="E29" s="52"/>
      <c r="F29" s="52"/>
      <c r="G29" s="52"/>
      <c r="H29" s="52"/>
      <c r="I29" s="92" t="str">
        <f>C15&amp;H12</f>
        <v>HourlyNone</v>
      </c>
      <c r="J29" s="52">
        <v>0</v>
      </c>
      <c r="K29" s="64">
        <v>0.08</v>
      </c>
      <c r="L29" s="93">
        <v>0</v>
      </c>
      <c r="M29" s="52"/>
    </row>
    <row r="30" spans="3:13" ht="12.75" hidden="1" customHeight="1" x14ac:dyDescent="0.2">
      <c r="C30" s="52"/>
      <c r="D30" s="52"/>
      <c r="E30" s="52"/>
      <c r="F30" s="52"/>
      <c r="G30" s="52"/>
      <c r="H30" s="52"/>
      <c r="I30" s="92" t="str">
        <f>C11&amp;E16</f>
        <v>FacultyNone</v>
      </c>
      <c r="J30" s="52">
        <v>0</v>
      </c>
      <c r="K30" s="64">
        <v>0.18</v>
      </c>
      <c r="L30" s="93">
        <v>100</v>
      </c>
      <c r="M30" s="52"/>
    </row>
    <row r="31" spans="3:13" ht="12.75" hidden="1" customHeight="1" x14ac:dyDescent="0.2">
      <c r="C31" s="52"/>
      <c r="D31" s="52"/>
      <c r="E31" s="52"/>
      <c r="F31" s="52"/>
      <c r="G31" s="52"/>
      <c r="H31" s="52"/>
      <c r="I31" s="92" t="e">
        <f>C12&amp;#REF!</f>
        <v>#REF!</v>
      </c>
      <c r="J31" s="52">
        <v>0</v>
      </c>
      <c r="K31" s="64">
        <v>0.18</v>
      </c>
      <c r="L31" s="93">
        <v>100</v>
      </c>
      <c r="M31" s="52"/>
    </row>
    <row r="32" spans="3:13" ht="12.75" hidden="1" customHeight="1" x14ac:dyDescent="0.2">
      <c r="C32" s="52"/>
      <c r="D32" s="52"/>
      <c r="E32" s="52"/>
      <c r="F32" s="52"/>
      <c r="G32" s="52"/>
      <c r="H32" s="52"/>
      <c r="I32" s="92" t="str">
        <f>C13&amp;F16</f>
        <v>TA SalariedNone</v>
      </c>
      <c r="J32" s="52">
        <v>0</v>
      </c>
      <c r="K32" s="64">
        <v>0.18</v>
      </c>
      <c r="L32" s="93">
        <v>100</v>
      </c>
      <c r="M32" s="52"/>
    </row>
    <row r="33" spans="2:17" ht="13.5" hidden="1" customHeight="1" thickBot="1" x14ac:dyDescent="0.25">
      <c r="C33" s="52"/>
      <c r="D33" s="52"/>
      <c r="E33" s="52"/>
      <c r="F33" s="52"/>
      <c r="G33" s="52"/>
      <c r="H33" s="52"/>
      <c r="I33" s="94" t="str">
        <f>C17&amp;Select</f>
        <v>SelectSelect One</v>
      </c>
      <c r="J33" s="98">
        <v>0</v>
      </c>
      <c r="K33" s="98">
        <v>0</v>
      </c>
      <c r="L33" s="95">
        <v>0</v>
      </c>
      <c r="M33" s="52"/>
    </row>
    <row r="34" spans="2:17" ht="18" customHeight="1" thickBot="1" x14ac:dyDescent="0.25">
      <c r="B34" s="277"/>
      <c r="C34" s="277"/>
      <c r="D34" s="277"/>
      <c r="E34" s="277"/>
      <c r="F34" s="277"/>
      <c r="G34" s="277"/>
      <c r="H34" s="277"/>
      <c r="I34" s="277"/>
      <c r="J34" s="277"/>
      <c r="K34" s="277"/>
      <c r="L34" s="277"/>
      <c r="M34" s="277"/>
    </row>
    <row r="35" spans="2:17" ht="18" customHeight="1" thickBot="1" x14ac:dyDescent="0.3">
      <c r="B35" s="290"/>
      <c r="C35" s="248" t="s">
        <v>208</v>
      </c>
      <c r="D35" s="249"/>
      <c r="E35" s="249"/>
      <c r="F35" s="249"/>
      <c r="G35" s="249"/>
      <c r="H35" s="249"/>
      <c r="I35" s="249"/>
      <c r="J35" s="276"/>
      <c r="K35" s="276"/>
      <c r="L35" s="276" t="s">
        <v>70</v>
      </c>
      <c r="M35" s="234">
        <f>SUM(J57:M57)</f>
        <v>0</v>
      </c>
    </row>
    <row r="36" spans="2:17" ht="39" customHeight="1" x14ac:dyDescent="0.2">
      <c r="B36" s="270" t="s">
        <v>257</v>
      </c>
      <c r="C36" s="285" t="s">
        <v>60</v>
      </c>
      <c r="D36" s="85" t="s">
        <v>1</v>
      </c>
      <c r="E36" s="85" t="s">
        <v>271</v>
      </c>
      <c r="F36" s="288" t="s">
        <v>73</v>
      </c>
      <c r="G36" s="85" t="s">
        <v>189</v>
      </c>
      <c r="H36" s="85" t="s">
        <v>72</v>
      </c>
      <c r="I36" s="192" t="s">
        <v>198</v>
      </c>
      <c r="J36" s="85" t="s">
        <v>263</v>
      </c>
      <c r="K36" s="85" t="s">
        <v>264</v>
      </c>
      <c r="L36" s="85" t="s">
        <v>265</v>
      </c>
      <c r="M36" s="88" t="s">
        <v>266</v>
      </c>
      <c r="N36" s="82"/>
      <c r="Q36" s="7"/>
    </row>
    <row r="37" spans="2:17" ht="17.45" customHeight="1" x14ac:dyDescent="0.2">
      <c r="B37" s="270"/>
      <c r="C37" s="246"/>
      <c r="D37" s="6"/>
      <c r="E37" s="124" t="s">
        <v>65</v>
      </c>
      <c r="F37" s="278"/>
      <c r="G37" s="8"/>
      <c r="H37" s="59"/>
      <c r="I37" s="9">
        <f t="shared" ref="I37:I56" si="0">IF(E37="Hourly",G37*H37/173.33,G37*H37/100)</f>
        <v>0</v>
      </c>
      <c r="J37" s="45">
        <f t="shared" ref="J37:J56" si="1">IF($E37="Staff",ROUND((F37*G37*H37*VLOOKUP(E37,C$11:C$17,2,FALSE)),0),0)</f>
        <v>0</v>
      </c>
      <c r="K37" s="45">
        <f t="shared" ref="K37:K56" si="2">IF(OR(E37="Hourly", E37="GRA Salaried"),ROUND((F37*G37*H37*VLOOKUP(E37,C$11:C$17,2,FALSE)),0),0)</f>
        <v>0</v>
      </c>
      <c r="L37" s="45">
        <f t="shared" ref="L37:L56" si="3">IF(OR($E37="Faculty",$E37="TA Salaried"),ROUND((F37*G37*H37*VLOOKUP(E37,C$11:C$17,2,FALSE)),0),0)</f>
        <v>0</v>
      </c>
      <c r="M37" s="46">
        <f t="shared" ref="M37:M56" si="4">IF(E37="GTA Salaried",ROUND((F37*G37*H37*VLOOKUP(E37,C$11:C$17,2,FALSE)),0),0)</f>
        <v>0</v>
      </c>
      <c r="N37" s="73"/>
      <c r="O37" s="231"/>
      <c r="Q37" s="5"/>
    </row>
    <row r="38" spans="2:17" ht="17.45" customHeight="1" x14ac:dyDescent="0.2">
      <c r="B38" s="270"/>
      <c r="C38" s="246"/>
      <c r="D38" s="6"/>
      <c r="E38" s="124" t="s">
        <v>65</v>
      </c>
      <c r="F38" s="247"/>
      <c r="G38" s="8"/>
      <c r="H38" s="59"/>
      <c r="I38" s="9">
        <f t="shared" si="0"/>
        <v>0</v>
      </c>
      <c r="J38" s="45">
        <f t="shared" si="1"/>
        <v>0</v>
      </c>
      <c r="K38" s="45">
        <f t="shared" si="2"/>
        <v>0</v>
      </c>
      <c r="L38" s="45">
        <f t="shared" si="3"/>
        <v>0</v>
      </c>
      <c r="M38" s="46">
        <f t="shared" si="4"/>
        <v>0</v>
      </c>
      <c r="N38" s="74"/>
      <c r="O38" s="231"/>
      <c r="Q38" s="5"/>
    </row>
    <row r="39" spans="2:17" ht="17.45" customHeight="1" x14ac:dyDescent="0.2">
      <c r="B39" s="270"/>
      <c r="C39" s="246"/>
      <c r="D39" s="6"/>
      <c r="E39" s="124" t="s">
        <v>65</v>
      </c>
      <c r="F39" s="247"/>
      <c r="G39" s="8"/>
      <c r="H39" s="59"/>
      <c r="I39" s="9">
        <f t="shared" si="0"/>
        <v>0</v>
      </c>
      <c r="J39" s="45">
        <f t="shared" si="1"/>
        <v>0</v>
      </c>
      <c r="K39" s="45">
        <f t="shared" si="2"/>
        <v>0</v>
      </c>
      <c r="L39" s="45">
        <f t="shared" si="3"/>
        <v>0</v>
      </c>
      <c r="M39" s="46">
        <f t="shared" si="4"/>
        <v>0</v>
      </c>
      <c r="N39" s="74"/>
      <c r="O39" s="231"/>
      <c r="Q39" s="5"/>
    </row>
    <row r="40" spans="2:17" ht="17.25" customHeight="1" x14ac:dyDescent="0.2">
      <c r="B40" s="270"/>
      <c r="C40" s="246"/>
      <c r="D40" s="6"/>
      <c r="E40" s="124" t="s">
        <v>65</v>
      </c>
      <c r="F40" s="247"/>
      <c r="G40" s="8"/>
      <c r="H40" s="59"/>
      <c r="I40" s="9">
        <f t="shared" si="0"/>
        <v>0</v>
      </c>
      <c r="J40" s="45">
        <f t="shared" si="1"/>
        <v>0</v>
      </c>
      <c r="K40" s="45">
        <f t="shared" si="2"/>
        <v>0</v>
      </c>
      <c r="L40" s="45">
        <f t="shared" si="3"/>
        <v>0</v>
      </c>
      <c r="M40" s="46">
        <f t="shared" si="4"/>
        <v>0</v>
      </c>
      <c r="N40" s="74"/>
      <c r="O40" s="231"/>
      <c r="Q40" s="5"/>
    </row>
    <row r="41" spans="2:17" ht="17.25" customHeight="1" x14ac:dyDescent="0.2">
      <c r="B41" s="270"/>
      <c r="C41" s="246"/>
      <c r="D41" s="6"/>
      <c r="E41" s="124" t="s">
        <v>65</v>
      </c>
      <c r="F41" s="247"/>
      <c r="G41" s="8"/>
      <c r="H41" s="59"/>
      <c r="I41" s="9">
        <f t="shared" si="0"/>
        <v>0</v>
      </c>
      <c r="J41" s="45">
        <f t="shared" si="1"/>
        <v>0</v>
      </c>
      <c r="K41" s="45">
        <f t="shared" si="2"/>
        <v>0</v>
      </c>
      <c r="L41" s="45">
        <f t="shared" si="3"/>
        <v>0</v>
      </c>
      <c r="M41" s="46">
        <f t="shared" si="4"/>
        <v>0</v>
      </c>
      <c r="N41" s="74"/>
      <c r="O41" s="231"/>
      <c r="Q41" s="5"/>
    </row>
    <row r="42" spans="2:17" ht="17.25" customHeight="1" x14ac:dyDescent="0.2">
      <c r="B42" s="270"/>
      <c r="C42" s="246"/>
      <c r="D42" s="6"/>
      <c r="E42" s="124" t="s">
        <v>65</v>
      </c>
      <c r="F42" s="247"/>
      <c r="G42" s="8"/>
      <c r="H42" s="59"/>
      <c r="I42" s="9">
        <f t="shared" si="0"/>
        <v>0</v>
      </c>
      <c r="J42" s="45">
        <f t="shared" si="1"/>
        <v>0</v>
      </c>
      <c r="K42" s="45">
        <f t="shared" si="2"/>
        <v>0</v>
      </c>
      <c r="L42" s="45">
        <f t="shared" si="3"/>
        <v>0</v>
      </c>
      <c r="M42" s="46">
        <f t="shared" si="4"/>
        <v>0</v>
      </c>
      <c r="N42" s="74"/>
      <c r="O42" s="17"/>
      <c r="Q42" s="3"/>
    </row>
    <row r="43" spans="2:17" ht="17.25" customHeight="1" x14ac:dyDescent="0.2">
      <c r="B43" s="270"/>
      <c r="C43" s="246"/>
      <c r="D43" s="6"/>
      <c r="E43" s="124" t="s">
        <v>65</v>
      </c>
      <c r="F43" s="247"/>
      <c r="G43" s="8"/>
      <c r="H43" s="59"/>
      <c r="I43" s="9">
        <f t="shared" si="0"/>
        <v>0</v>
      </c>
      <c r="J43" s="45">
        <f t="shared" si="1"/>
        <v>0</v>
      </c>
      <c r="K43" s="45">
        <f t="shared" si="2"/>
        <v>0</v>
      </c>
      <c r="L43" s="45">
        <f t="shared" si="3"/>
        <v>0</v>
      </c>
      <c r="M43" s="46">
        <f t="shared" si="4"/>
        <v>0</v>
      </c>
      <c r="N43" s="74"/>
      <c r="O43" s="17"/>
      <c r="Q43" s="3"/>
    </row>
    <row r="44" spans="2:17" ht="17.25" customHeight="1" x14ac:dyDescent="0.2">
      <c r="B44" s="270"/>
      <c r="C44" s="246"/>
      <c r="D44" s="6"/>
      <c r="E44" s="124" t="s">
        <v>65</v>
      </c>
      <c r="F44" s="247"/>
      <c r="G44" s="8"/>
      <c r="H44" s="59"/>
      <c r="I44" s="9">
        <f t="shared" si="0"/>
        <v>0</v>
      </c>
      <c r="J44" s="45">
        <f t="shared" si="1"/>
        <v>0</v>
      </c>
      <c r="K44" s="45">
        <f t="shared" si="2"/>
        <v>0</v>
      </c>
      <c r="L44" s="45">
        <f t="shared" si="3"/>
        <v>0</v>
      </c>
      <c r="M44" s="46">
        <f t="shared" si="4"/>
        <v>0</v>
      </c>
      <c r="N44" s="74"/>
      <c r="O44" s="17"/>
      <c r="Q44" s="3"/>
    </row>
    <row r="45" spans="2:17" ht="17.45" customHeight="1" x14ac:dyDescent="0.2">
      <c r="B45" s="270"/>
      <c r="C45" s="246"/>
      <c r="D45" s="6"/>
      <c r="E45" s="124" t="s">
        <v>65</v>
      </c>
      <c r="F45" s="247"/>
      <c r="G45" s="8"/>
      <c r="H45" s="59"/>
      <c r="I45" s="9">
        <f t="shared" si="0"/>
        <v>0</v>
      </c>
      <c r="J45" s="45">
        <f t="shared" si="1"/>
        <v>0</v>
      </c>
      <c r="K45" s="45">
        <f t="shared" si="2"/>
        <v>0</v>
      </c>
      <c r="L45" s="45">
        <f t="shared" si="3"/>
        <v>0</v>
      </c>
      <c r="M45" s="46">
        <f t="shared" si="4"/>
        <v>0</v>
      </c>
      <c r="N45" s="74"/>
      <c r="O45" s="17"/>
      <c r="Q45" s="3"/>
    </row>
    <row r="46" spans="2:17" ht="17.45" customHeight="1" x14ac:dyDescent="0.2">
      <c r="B46" s="270"/>
      <c r="C46" s="246"/>
      <c r="D46" s="6"/>
      <c r="E46" s="124" t="s">
        <v>65</v>
      </c>
      <c r="F46" s="247"/>
      <c r="G46" s="8"/>
      <c r="H46" s="59"/>
      <c r="I46" s="9">
        <f t="shared" si="0"/>
        <v>0</v>
      </c>
      <c r="J46" s="45">
        <f t="shared" si="1"/>
        <v>0</v>
      </c>
      <c r="K46" s="45">
        <f t="shared" si="2"/>
        <v>0</v>
      </c>
      <c r="L46" s="45">
        <f t="shared" si="3"/>
        <v>0</v>
      </c>
      <c r="M46" s="46">
        <f t="shared" si="4"/>
        <v>0</v>
      </c>
      <c r="N46" s="74"/>
      <c r="O46" s="17"/>
      <c r="Q46" s="3"/>
    </row>
    <row r="47" spans="2:17" ht="17.45" customHeight="1" x14ac:dyDescent="0.2">
      <c r="B47" s="270"/>
      <c r="C47" s="246"/>
      <c r="D47" s="6"/>
      <c r="E47" s="124" t="s">
        <v>65</v>
      </c>
      <c r="F47" s="247"/>
      <c r="G47" s="8"/>
      <c r="H47" s="214"/>
      <c r="I47" s="9">
        <f t="shared" si="0"/>
        <v>0</v>
      </c>
      <c r="J47" s="45">
        <f t="shared" si="1"/>
        <v>0</v>
      </c>
      <c r="K47" s="45">
        <f t="shared" si="2"/>
        <v>0</v>
      </c>
      <c r="L47" s="45">
        <f t="shared" si="3"/>
        <v>0</v>
      </c>
      <c r="M47" s="46">
        <f t="shared" si="4"/>
        <v>0</v>
      </c>
      <c r="N47" s="74"/>
      <c r="O47" s="17"/>
      <c r="Q47" s="3"/>
    </row>
    <row r="48" spans="2:17" ht="17.45" customHeight="1" x14ac:dyDescent="0.2">
      <c r="B48" s="270"/>
      <c r="C48" s="246"/>
      <c r="D48" s="6"/>
      <c r="E48" s="124" t="s">
        <v>65</v>
      </c>
      <c r="F48" s="247"/>
      <c r="G48" s="8"/>
      <c r="H48" s="59"/>
      <c r="I48" s="9">
        <f t="shared" si="0"/>
        <v>0</v>
      </c>
      <c r="J48" s="45">
        <f t="shared" si="1"/>
        <v>0</v>
      </c>
      <c r="K48" s="45">
        <f t="shared" si="2"/>
        <v>0</v>
      </c>
      <c r="L48" s="45">
        <f t="shared" si="3"/>
        <v>0</v>
      </c>
      <c r="M48" s="46">
        <f t="shared" si="4"/>
        <v>0</v>
      </c>
      <c r="N48" s="74"/>
      <c r="O48" s="17"/>
      <c r="Q48" s="3"/>
    </row>
    <row r="49" spans="2:17" ht="17.45" customHeight="1" x14ac:dyDescent="0.2">
      <c r="B49" s="270"/>
      <c r="C49" s="246"/>
      <c r="D49" s="6"/>
      <c r="E49" s="124" t="s">
        <v>65</v>
      </c>
      <c r="F49" s="247"/>
      <c r="G49" s="8"/>
      <c r="H49" s="59"/>
      <c r="I49" s="9">
        <f t="shared" si="0"/>
        <v>0</v>
      </c>
      <c r="J49" s="45">
        <f t="shared" si="1"/>
        <v>0</v>
      </c>
      <c r="K49" s="45">
        <f t="shared" si="2"/>
        <v>0</v>
      </c>
      <c r="L49" s="45">
        <f t="shared" si="3"/>
        <v>0</v>
      </c>
      <c r="M49" s="46">
        <f t="shared" si="4"/>
        <v>0</v>
      </c>
      <c r="N49" s="74"/>
      <c r="O49" s="17"/>
      <c r="Q49" s="3"/>
    </row>
    <row r="50" spans="2:17" ht="17.45" customHeight="1" x14ac:dyDescent="0.2">
      <c r="B50" s="270"/>
      <c r="C50" s="246"/>
      <c r="D50" s="6"/>
      <c r="E50" s="124" t="s">
        <v>65</v>
      </c>
      <c r="F50" s="247"/>
      <c r="G50" s="8"/>
      <c r="H50" s="59"/>
      <c r="I50" s="9">
        <f t="shared" si="0"/>
        <v>0</v>
      </c>
      <c r="J50" s="45">
        <f t="shared" si="1"/>
        <v>0</v>
      </c>
      <c r="K50" s="45">
        <f t="shared" si="2"/>
        <v>0</v>
      </c>
      <c r="L50" s="45">
        <f t="shared" si="3"/>
        <v>0</v>
      </c>
      <c r="M50" s="46">
        <f t="shared" si="4"/>
        <v>0</v>
      </c>
      <c r="N50" s="74"/>
      <c r="O50" s="17"/>
      <c r="Q50" s="3"/>
    </row>
    <row r="51" spans="2:17" ht="17.45" customHeight="1" x14ac:dyDescent="0.2">
      <c r="B51" s="270"/>
      <c r="C51" s="246"/>
      <c r="D51" s="6"/>
      <c r="E51" s="124" t="s">
        <v>65</v>
      </c>
      <c r="F51" s="247"/>
      <c r="G51" s="8"/>
      <c r="H51" s="59"/>
      <c r="I51" s="9">
        <f t="shared" si="0"/>
        <v>0</v>
      </c>
      <c r="J51" s="45">
        <f t="shared" si="1"/>
        <v>0</v>
      </c>
      <c r="K51" s="45">
        <f t="shared" si="2"/>
        <v>0</v>
      </c>
      <c r="L51" s="45">
        <f t="shared" si="3"/>
        <v>0</v>
      </c>
      <c r="M51" s="46">
        <f t="shared" si="4"/>
        <v>0</v>
      </c>
      <c r="N51" s="74"/>
      <c r="O51" s="17"/>
      <c r="Q51" s="3"/>
    </row>
    <row r="52" spans="2:17" ht="17.45" customHeight="1" x14ac:dyDescent="0.2">
      <c r="B52" s="270"/>
      <c r="C52" s="246"/>
      <c r="D52" s="6"/>
      <c r="E52" s="124" t="s">
        <v>65</v>
      </c>
      <c r="F52" s="247"/>
      <c r="G52" s="8"/>
      <c r="H52" s="59"/>
      <c r="I52" s="9">
        <f t="shared" si="0"/>
        <v>0</v>
      </c>
      <c r="J52" s="45">
        <f t="shared" si="1"/>
        <v>0</v>
      </c>
      <c r="K52" s="45">
        <f t="shared" si="2"/>
        <v>0</v>
      </c>
      <c r="L52" s="45">
        <f t="shared" si="3"/>
        <v>0</v>
      </c>
      <c r="M52" s="46">
        <f t="shared" si="4"/>
        <v>0</v>
      </c>
      <c r="N52" s="74"/>
      <c r="O52" s="17"/>
      <c r="Q52" s="3"/>
    </row>
    <row r="53" spans="2:17" ht="17.45" customHeight="1" x14ac:dyDescent="0.2">
      <c r="B53" s="270"/>
      <c r="C53" s="246"/>
      <c r="D53" s="6"/>
      <c r="E53" s="124" t="s">
        <v>65</v>
      </c>
      <c r="F53" s="247"/>
      <c r="G53" s="8"/>
      <c r="H53" s="59"/>
      <c r="I53" s="9">
        <f t="shared" si="0"/>
        <v>0</v>
      </c>
      <c r="J53" s="45">
        <f t="shared" si="1"/>
        <v>0</v>
      </c>
      <c r="K53" s="45">
        <f t="shared" si="2"/>
        <v>0</v>
      </c>
      <c r="L53" s="45">
        <f t="shared" si="3"/>
        <v>0</v>
      </c>
      <c r="M53" s="46">
        <f t="shared" si="4"/>
        <v>0</v>
      </c>
      <c r="N53" s="74"/>
      <c r="O53" s="17"/>
      <c r="Q53" s="3"/>
    </row>
    <row r="54" spans="2:17" ht="17.45" customHeight="1" x14ac:dyDescent="0.2">
      <c r="B54" s="270"/>
      <c r="C54" s="246"/>
      <c r="D54" s="6"/>
      <c r="E54" s="124" t="s">
        <v>65</v>
      </c>
      <c r="F54" s="247"/>
      <c r="G54" s="8"/>
      <c r="H54" s="59"/>
      <c r="I54" s="9">
        <f t="shared" si="0"/>
        <v>0</v>
      </c>
      <c r="J54" s="45">
        <f t="shared" si="1"/>
        <v>0</v>
      </c>
      <c r="K54" s="45">
        <f t="shared" si="2"/>
        <v>0</v>
      </c>
      <c r="L54" s="45">
        <f t="shared" si="3"/>
        <v>0</v>
      </c>
      <c r="M54" s="46">
        <f t="shared" si="4"/>
        <v>0</v>
      </c>
      <c r="N54" s="74"/>
      <c r="O54" s="17"/>
      <c r="Q54" s="3"/>
    </row>
    <row r="55" spans="2:17" ht="17.45" customHeight="1" x14ac:dyDescent="0.2">
      <c r="B55" s="270"/>
      <c r="C55" s="246"/>
      <c r="D55" s="6"/>
      <c r="E55" s="124" t="s">
        <v>65</v>
      </c>
      <c r="F55" s="247"/>
      <c r="G55" s="8"/>
      <c r="H55" s="59"/>
      <c r="I55" s="9">
        <f t="shared" si="0"/>
        <v>0</v>
      </c>
      <c r="J55" s="45">
        <f t="shared" si="1"/>
        <v>0</v>
      </c>
      <c r="K55" s="45">
        <f t="shared" si="2"/>
        <v>0</v>
      </c>
      <c r="L55" s="45">
        <f t="shared" si="3"/>
        <v>0</v>
      </c>
      <c r="M55" s="46">
        <f t="shared" si="4"/>
        <v>0</v>
      </c>
      <c r="N55" s="74"/>
      <c r="O55" s="17"/>
      <c r="Q55" s="3"/>
    </row>
    <row r="56" spans="2:17" ht="17.45" customHeight="1" thickBot="1" x14ac:dyDescent="0.25">
      <c r="B56" s="270"/>
      <c r="C56" s="246"/>
      <c r="D56" s="6"/>
      <c r="E56" s="124" t="s">
        <v>65</v>
      </c>
      <c r="F56" s="247"/>
      <c r="G56" s="8"/>
      <c r="H56" s="59"/>
      <c r="I56" s="9">
        <f t="shared" si="0"/>
        <v>0</v>
      </c>
      <c r="J56" s="45">
        <f t="shared" si="1"/>
        <v>0</v>
      </c>
      <c r="K56" s="45">
        <f t="shared" si="2"/>
        <v>0</v>
      </c>
      <c r="L56" s="45">
        <f t="shared" si="3"/>
        <v>0</v>
      </c>
      <c r="M56" s="46">
        <f t="shared" si="4"/>
        <v>0</v>
      </c>
      <c r="N56" s="74"/>
      <c r="O56" s="17"/>
      <c r="Q56" s="3"/>
    </row>
    <row r="57" spans="2:17" ht="17.45" customHeight="1" thickTop="1" thickBot="1" x14ac:dyDescent="0.25">
      <c r="B57" s="271"/>
      <c r="C57" s="267"/>
      <c r="D57" s="268"/>
      <c r="E57" s="268"/>
      <c r="F57" s="268"/>
      <c r="G57" s="232"/>
      <c r="H57" s="233" t="s">
        <v>245</v>
      </c>
      <c r="I57" s="220">
        <f>SUM(I37:I56)</f>
        <v>0</v>
      </c>
      <c r="J57" s="223">
        <f>SUM(J37:J56)</f>
        <v>0</v>
      </c>
      <c r="K57" s="224">
        <f>SUM(K37:K56)</f>
        <v>0</v>
      </c>
      <c r="L57" s="224">
        <f>SUM(L37:L56)</f>
        <v>0</v>
      </c>
      <c r="M57" s="223">
        <f>SUM(M37:M56)</f>
        <v>0</v>
      </c>
      <c r="N57" s="74"/>
      <c r="Q57" s="3"/>
    </row>
    <row r="58" spans="2:17" ht="15.6" customHeight="1" thickBot="1" x14ac:dyDescent="0.25">
      <c r="B58" s="235"/>
      <c r="C58" s="236"/>
      <c r="D58" s="221"/>
      <c r="E58" s="221"/>
      <c r="F58" s="221"/>
      <c r="G58" s="221"/>
      <c r="H58" s="221"/>
      <c r="I58" s="221"/>
      <c r="J58" s="221"/>
      <c r="K58" s="221"/>
      <c r="L58" s="221"/>
      <c r="M58" s="222"/>
      <c r="N58" s="74"/>
      <c r="Q58" s="3"/>
    </row>
    <row r="59" spans="2:17" ht="18.75" customHeight="1" thickBot="1" x14ac:dyDescent="0.3">
      <c r="B59" s="269" t="s">
        <v>256</v>
      </c>
      <c r="C59" s="282"/>
      <c r="D59" s="283"/>
      <c r="E59" s="283"/>
      <c r="F59" s="283"/>
      <c r="G59" s="283"/>
      <c r="H59" s="283"/>
      <c r="I59" s="280" t="s">
        <v>272</v>
      </c>
      <c r="J59" s="280"/>
      <c r="K59" s="280"/>
      <c r="L59" s="281"/>
      <c r="M59" s="234">
        <f>M60+M64+M69</f>
        <v>0</v>
      </c>
    </row>
    <row r="60" spans="2:17" ht="15.6" customHeight="1" x14ac:dyDescent="0.2">
      <c r="B60" s="270"/>
      <c r="C60" s="257" t="s">
        <v>24</v>
      </c>
      <c r="D60" s="258"/>
      <c r="E60" s="258"/>
      <c r="F60" s="258"/>
      <c r="G60" s="258"/>
      <c r="H60" s="258"/>
      <c r="I60" s="258"/>
      <c r="J60" s="258"/>
      <c r="K60" s="258"/>
      <c r="L60" s="50" t="s">
        <v>0</v>
      </c>
      <c r="M60" s="20">
        <f>SUM(M61:M62)</f>
        <v>0</v>
      </c>
      <c r="N60" s="75"/>
    </row>
    <row r="61" spans="2:17" ht="15.6" customHeight="1" x14ac:dyDescent="0.2">
      <c r="B61" s="270"/>
      <c r="C61" s="250" t="s">
        <v>246</v>
      </c>
      <c r="D61" s="47"/>
      <c r="E61" s="47"/>
      <c r="F61" s="47"/>
      <c r="G61" s="47"/>
      <c r="H61" s="47"/>
      <c r="I61" s="47"/>
      <c r="J61" s="47"/>
      <c r="K61" s="47"/>
      <c r="L61" s="48"/>
      <c r="M61" s="14">
        <v>0</v>
      </c>
      <c r="N61" s="76"/>
    </row>
    <row r="62" spans="2:17" ht="15.6" customHeight="1" thickBot="1" x14ac:dyDescent="0.25">
      <c r="B62" s="270"/>
      <c r="C62" s="251" t="s">
        <v>254</v>
      </c>
      <c r="D62" s="252"/>
      <c r="E62" s="252"/>
      <c r="F62" s="252"/>
      <c r="G62" s="252"/>
      <c r="H62" s="252"/>
      <c r="I62" s="252"/>
      <c r="J62" s="252"/>
      <c r="K62" s="252"/>
      <c r="L62" s="253"/>
      <c r="M62" s="19">
        <v>0</v>
      </c>
      <c r="N62" s="76"/>
    </row>
    <row r="63" spans="2:17" ht="15.6" customHeight="1" thickBot="1" x14ac:dyDescent="0.25">
      <c r="B63" s="270"/>
      <c r="C63" s="215"/>
      <c r="D63" s="216"/>
      <c r="E63" s="216"/>
      <c r="F63" s="216"/>
      <c r="G63" s="216"/>
      <c r="H63" s="216"/>
      <c r="I63" s="216"/>
      <c r="J63" s="216"/>
      <c r="K63" s="216"/>
      <c r="L63" s="217"/>
      <c r="M63" s="51"/>
      <c r="N63" s="76"/>
    </row>
    <row r="64" spans="2:17" ht="15.6" customHeight="1" x14ac:dyDescent="0.2">
      <c r="B64" s="270"/>
      <c r="C64" s="248" t="s">
        <v>251</v>
      </c>
      <c r="D64" s="249"/>
      <c r="E64" s="249"/>
      <c r="F64" s="249"/>
      <c r="G64" s="249"/>
      <c r="H64" s="249"/>
      <c r="I64" s="249"/>
      <c r="J64" s="249"/>
      <c r="K64" s="249"/>
      <c r="L64" s="50" t="s">
        <v>0</v>
      </c>
      <c r="M64" s="20">
        <f>SUM(M65:M67)</f>
        <v>0</v>
      </c>
      <c r="N64" s="76"/>
    </row>
    <row r="65" spans="2:15" ht="15.6" customHeight="1" x14ac:dyDescent="0.2">
      <c r="B65" s="270"/>
      <c r="C65" s="250" t="s">
        <v>268</v>
      </c>
      <c r="D65" s="47"/>
      <c r="E65" s="47"/>
      <c r="F65" s="47"/>
      <c r="G65" s="47"/>
      <c r="H65" s="47"/>
      <c r="I65" s="47"/>
      <c r="J65" s="47"/>
      <c r="K65" s="47"/>
      <c r="L65" s="48"/>
      <c r="M65" s="18">
        <v>0</v>
      </c>
      <c r="N65" s="76"/>
    </row>
    <row r="66" spans="2:15" ht="15.6" customHeight="1" x14ac:dyDescent="0.2">
      <c r="B66" s="270"/>
      <c r="C66" s="250" t="s">
        <v>269</v>
      </c>
      <c r="D66" s="47"/>
      <c r="E66" s="47"/>
      <c r="F66" s="47"/>
      <c r="G66" s="47"/>
      <c r="H66" s="47"/>
      <c r="I66" s="47"/>
      <c r="J66" s="47"/>
      <c r="K66" s="47"/>
      <c r="L66" s="48"/>
      <c r="M66" s="12">
        <v>0</v>
      </c>
      <c r="N66" s="76"/>
    </row>
    <row r="67" spans="2:15" ht="15.6" customHeight="1" thickBot="1" x14ac:dyDescent="0.25">
      <c r="B67" s="270"/>
      <c r="C67" s="251" t="s">
        <v>270</v>
      </c>
      <c r="D67" s="252"/>
      <c r="E67" s="252"/>
      <c r="F67" s="252"/>
      <c r="G67" s="252"/>
      <c r="H67" s="252"/>
      <c r="I67" s="252"/>
      <c r="J67" s="252"/>
      <c r="K67" s="252"/>
      <c r="L67" s="253"/>
      <c r="M67" s="219">
        <v>0</v>
      </c>
      <c r="N67" s="76"/>
    </row>
    <row r="68" spans="2:15" ht="15.6" customHeight="1" thickBot="1" x14ac:dyDescent="0.25">
      <c r="B68" s="270"/>
      <c r="C68" s="215"/>
      <c r="D68" s="216"/>
      <c r="E68" s="216"/>
      <c r="F68" s="216"/>
      <c r="G68" s="216"/>
      <c r="H68" s="216"/>
      <c r="I68" s="216"/>
      <c r="J68" s="216"/>
      <c r="K68" s="216"/>
      <c r="L68" s="217"/>
      <c r="M68" s="218"/>
      <c r="N68" s="76"/>
    </row>
    <row r="69" spans="2:15" ht="15.6" customHeight="1" x14ac:dyDescent="0.2">
      <c r="B69" s="270"/>
      <c r="C69" s="257" t="s">
        <v>247</v>
      </c>
      <c r="D69" s="258"/>
      <c r="E69" s="258"/>
      <c r="F69" s="258"/>
      <c r="G69" s="258"/>
      <c r="H69" s="258"/>
      <c r="I69" s="258"/>
      <c r="J69" s="258"/>
      <c r="K69" s="258"/>
      <c r="L69" s="50" t="s">
        <v>0</v>
      </c>
      <c r="M69" s="20">
        <f>SUM(M70:M80)</f>
        <v>0</v>
      </c>
      <c r="N69" s="76"/>
    </row>
    <row r="70" spans="2:15" ht="15.6" customHeight="1" x14ac:dyDescent="0.2">
      <c r="B70" s="270"/>
      <c r="C70" s="250" t="s">
        <v>249</v>
      </c>
      <c r="D70" s="47"/>
      <c r="E70" s="47"/>
      <c r="F70" s="47"/>
      <c r="G70" s="47"/>
      <c r="H70" s="47"/>
      <c r="I70" s="47"/>
      <c r="J70" s="47"/>
      <c r="K70" s="47"/>
      <c r="L70" s="48"/>
      <c r="M70" s="16">
        <v>0</v>
      </c>
      <c r="N70" s="76"/>
    </row>
    <row r="71" spans="2:15" ht="15.6" customHeight="1" x14ac:dyDescent="0.2">
      <c r="B71" s="270"/>
      <c r="C71" s="250" t="s">
        <v>182</v>
      </c>
      <c r="D71" s="47"/>
      <c r="E71" s="47"/>
      <c r="F71" s="47"/>
      <c r="G71" s="47"/>
      <c r="H71" s="47"/>
      <c r="I71" s="47"/>
      <c r="J71" s="47"/>
      <c r="K71" s="47"/>
      <c r="L71" s="48"/>
      <c r="M71" s="16">
        <v>0</v>
      </c>
      <c r="N71" s="76"/>
    </row>
    <row r="72" spans="2:15" ht="15.6" customHeight="1" x14ac:dyDescent="0.2">
      <c r="B72" s="270"/>
      <c r="C72" s="47" t="s">
        <v>250</v>
      </c>
      <c r="D72" s="47"/>
      <c r="E72" s="47"/>
      <c r="F72" s="47"/>
      <c r="G72" s="47"/>
      <c r="H72" s="47"/>
      <c r="I72" s="47"/>
      <c r="J72" s="47"/>
      <c r="K72" s="47"/>
      <c r="L72" s="48"/>
      <c r="M72" s="16">
        <v>0</v>
      </c>
      <c r="N72" s="76"/>
    </row>
    <row r="73" spans="2:15" ht="15.6" customHeight="1" x14ac:dyDescent="0.2">
      <c r="B73" s="270"/>
      <c r="C73" s="250" t="s">
        <v>253</v>
      </c>
      <c r="D73" s="47"/>
      <c r="E73" s="47"/>
      <c r="F73" s="47"/>
      <c r="G73" s="47"/>
      <c r="H73" s="47"/>
      <c r="I73" s="47"/>
      <c r="J73" s="47"/>
      <c r="K73" s="47"/>
      <c r="L73" s="48"/>
      <c r="M73" s="125">
        <v>0</v>
      </c>
      <c r="N73" s="76"/>
    </row>
    <row r="74" spans="2:15" ht="15.6" customHeight="1" x14ac:dyDescent="0.2">
      <c r="B74" s="270"/>
      <c r="C74" s="250" t="s">
        <v>248</v>
      </c>
      <c r="D74" s="47"/>
      <c r="E74" s="47"/>
      <c r="F74" s="47"/>
      <c r="G74" s="47"/>
      <c r="H74" s="47"/>
      <c r="I74" s="47"/>
      <c r="J74" s="47"/>
      <c r="K74" s="47"/>
      <c r="L74" s="48"/>
      <c r="M74" s="125">
        <v>0</v>
      </c>
      <c r="N74" s="76"/>
    </row>
    <row r="75" spans="2:15" ht="15.6" customHeight="1" x14ac:dyDescent="0.2">
      <c r="B75" s="270"/>
      <c r="C75" s="254" t="s">
        <v>255</v>
      </c>
      <c r="D75" s="255"/>
      <c r="E75" s="255"/>
      <c r="F75" s="255"/>
      <c r="G75" s="255"/>
      <c r="H75" s="255"/>
      <c r="I75" s="255"/>
      <c r="J75" s="255"/>
      <c r="K75" s="255"/>
      <c r="L75" s="256"/>
      <c r="M75" s="125">
        <v>0</v>
      </c>
      <c r="N75" s="76"/>
      <c r="O75" s="17"/>
    </row>
    <row r="76" spans="2:15" ht="15.6" customHeight="1" x14ac:dyDescent="0.2">
      <c r="B76" s="270"/>
      <c r="C76" s="250" t="s">
        <v>184</v>
      </c>
      <c r="D76" s="47"/>
      <c r="E76" s="47"/>
      <c r="F76" s="47"/>
      <c r="G76" s="47"/>
      <c r="H76" s="47"/>
      <c r="I76" s="47"/>
      <c r="J76" s="47"/>
      <c r="K76" s="47"/>
      <c r="L76" s="48"/>
      <c r="M76" s="16">
        <v>0</v>
      </c>
      <c r="N76" s="75"/>
    </row>
    <row r="77" spans="2:15" ht="15.6" customHeight="1" x14ac:dyDescent="0.2">
      <c r="B77" s="270"/>
      <c r="C77" s="47" t="s">
        <v>185</v>
      </c>
      <c r="D77" s="47"/>
      <c r="E77" s="47"/>
      <c r="F77" s="47"/>
      <c r="G77" s="47"/>
      <c r="H77" s="47"/>
      <c r="I77" s="47"/>
      <c r="J77" s="47"/>
      <c r="K77" s="47"/>
      <c r="L77" s="48"/>
      <c r="M77" s="16">
        <v>0</v>
      </c>
      <c r="N77" s="76"/>
    </row>
    <row r="78" spans="2:15" ht="15.6" customHeight="1" x14ac:dyDescent="0.2">
      <c r="B78" s="270"/>
      <c r="C78" s="250" t="s">
        <v>252</v>
      </c>
      <c r="D78" s="47"/>
      <c r="E78" s="47"/>
      <c r="F78" s="47"/>
      <c r="G78" s="47"/>
      <c r="H78" s="47"/>
      <c r="I78" s="47"/>
      <c r="J78" s="47"/>
      <c r="K78" s="47"/>
      <c r="L78" s="48"/>
      <c r="M78" s="15">
        <v>0</v>
      </c>
      <c r="N78" s="76"/>
    </row>
    <row r="79" spans="2:15" ht="15.6" customHeight="1" x14ac:dyDescent="0.2">
      <c r="B79" s="270"/>
      <c r="C79" s="47" t="s">
        <v>267</v>
      </c>
      <c r="D79" s="47"/>
      <c r="E79" s="47"/>
      <c r="F79" s="47"/>
      <c r="G79" s="47"/>
      <c r="H79" s="47"/>
      <c r="I79" s="47"/>
      <c r="J79" s="47"/>
      <c r="K79" s="47"/>
      <c r="L79" s="48"/>
      <c r="M79" s="16">
        <v>0</v>
      </c>
      <c r="N79" s="76"/>
    </row>
    <row r="80" spans="2:15" ht="15.6" customHeight="1" thickBot="1" x14ac:dyDescent="0.25">
      <c r="B80" s="271"/>
      <c r="C80" s="251" t="s">
        <v>267</v>
      </c>
      <c r="D80" s="252"/>
      <c r="E80" s="252"/>
      <c r="F80" s="252"/>
      <c r="G80" s="252"/>
      <c r="H80" s="252"/>
      <c r="I80" s="252"/>
      <c r="J80" s="252"/>
      <c r="K80" s="252"/>
      <c r="L80" s="253"/>
      <c r="M80" s="19">
        <v>0</v>
      </c>
      <c r="N80" s="76"/>
    </row>
    <row r="81" spans="2:25" ht="15.6" customHeight="1" thickBot="1" x14ac:dyDescent="0.25">
      <c r="B81" s="284"/>
      <c r="C81" s="284"/>
      <c r="D81" s="284"/>
      <c r="E81" s="284"/>
      <c r="F81" s="284"/>
      <c r="G81" s="284"/>
      <c r="H81" s="284"/>
      <c r="I81" s="284"/>
      <c r="J81" s="284"/>
      <c r="K81" s="284"/>
      <c r="L81" s="284"/>
      <c r="M81" s="284"/>
      <c r="N81" s="65"/>
      <c r="S81" s="17"/>
      <c r="T81" s="17"/>
      <c r="U81" s="17"/>
      <c r="V81" s="17"/>
      <c r="W81" s="17"/>
      <c r="X81" s="17"/>
      <c r="Y81" s="17"/>
    </row>
    <row r="82" spans="2:25" ht="48" customHeight="1" thickBot="1" x14ac:dyDescent="0.25">
      <c r="B82" s="266"/>
      <c r="C82" s="266"/>
      <c r="D82" s="266"/>
      <c r="E82" s="266"/>
      <c r="F82" s="266"/>
      <c r="G82" s="266"/>
      <c r="H82" s="1"/>
      <c r="I82" s="1"/>
      <c r="J82" s="293"/>
      <c r="K82" s="291" t="s">
        <v>258</v>
      </c>
      <c r="L82" s="294"/>
      <c r="M82" s="292">
        <f>M35+M59</f>
        <v>0</v>
      </c>
      <c r="N82" s="65"/>
    </row>
    <row r="83" spans="2:25" ht="18" customHeight="1" x14ac:dyDescent="0.2">
      <c r="B83" s="266"/>
      <c r="C83" s="266"/>
      <c r="D83" s="266"/>
      <c r="E83" s="266"/>
      <c r="F83" s="266"/>
      <c r="G83" s="266"/>
      <c r="H83" s="77"/>
      <c r="I83" s="1"/>
    </row>
    <row r="84" spans="2:25" ht="17.100000000000001" customHeight="1" x14ac:dyDescent="0.25">
      <c r="B84" s="266"/>
      <c r="C84" s="266"/>
      <c r="D84" s="266"/>
      <c r="E84" s="266"/>
      <c r="F84" s="266"/>
      <c r="G84" s="266"/>
      <c r="H84" s="81"/>
      <c r="I84" s="1"/>
    </row>
    <row r="85" spans="2:25" ht="17.100000000000001" customHeight="1" x14ac:dyDescent="0.25">
      <c r="B85" s="266"/>
      <c r="C85" s="266"/>
      <c r="D85" s="266"/>
      <c r="E85" s="266"/>
      <c r="F85" s="266"/>
      <c r="G85" s="266"/>
      <c r="H85" s="81"/>
      <c r="I85" s="55"/>
    </row>
  </sheetData>
  <sheetProtection insertRows="0"/>
  <conditionalFormatting sqref="H37:H57">
    <cfRule type="expression" dxfId="5" priority="1">
      <formula>E37&lt;&gt;"Hourly"</formula>
    </cfRule>
  </conditionalFormatting>
  <dataValidations count="1">
    <dataValidation type="list" allowBlank="1" showInputMessage="1" showErrorMessage="1" sqref="E37:E56" xr:uid="{23ACA023-90FA-4150-A567-084E31E0F30B}">
      <formula1>$C$11:$C$17</formula1>
    </dataValidation>
  </dataValidations>
  <printOptions horizontalCentered="1" verticalCentered="1"/>
  <pageMargins left="0.25" right="0.25" top="0.5" bottom="0.5" header="0" footer="0"/>
  <pageSetup scale="62" orientation="portrait" r:id="rId1"/>
  <headerFooter alignWithMargins="0">
    <oddFooter xml:space="preserve">&amp;R&amp;K000000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59"/>
  <sheetViews>
    <sheetView topLeftCell="B91" zoomScale="85" zoomScaleNormal="85" zoomScalePageLayoutView="85" workbookViewId="0">
      <selection activeCell="C144" sqref="C144"/>
    </sheetView>
  </sheetViews>
  <sheetFormatPr defaultColWidth="8.85546875" defaultRowHeight="12.75" x14ac:dyDescent="0.2"/>
  <cols>
    <col min="1" max="1" width="4.140625" style="1" customWidth="1"/>
    <col min="2" max="2" width="4.28515625" style="1" customWidth="1"/>
    <col min="3" max="3" width="13.28515625" style="1" customWidth="1"/>
    <col min="4" max="4" width="7.42578125" style="1" customWidth="1"/>
    <col min="5" max="5" width="14.7109375" style="1" customWidth="1"/>
    <col min="6" max="6" width="10.42578125" style="1" customWidth="1"/>
    <col min="7" max="7" width="6.42578125" style="1" customWidth="1"/>
    <col min="8" max="8" width="6.28515625" style="1" customWidth="1"/>
    <col min="9" max="9" width="8.7109375" style="1" customWidth="1"/>
    <col min="10" max="10" width="11.7109375" style="2" customWidth="1"/>
    <col min="11" max="11" width="13" style="2" customWidth="1"/>
    <col min="12" max="13" width="12.85546875" style="1" customWidth="1"/>
    <col min="14" max="14" width="12.42578125" style="1" customWidth="1"/>
    <col min="15" max="15" width="17.140625" style="1" customWidth="1"/>
    <col min="16" max="16" width="12" style="1" customWidth="1"/>
    <col min="17" max="17" width="35.42578125" style="1" customWidth="1"/>
    <col min="18" max="18" width="14.28515625" style="1" customWidth="1"/>
    <col min="19" max="16384" width="8.85546875" style="1"/>
  </cols>
  <sheetData>
    <row r="1" spans="1:18" s="4" customFormat="1" ht="21.95" customHeight="1" x14ac:dyDescent="0.2">
      <c r="A1" s="342" t="s">
        <v>11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67"/>
    </row>
    <row r="2" spans="1:18" s="4" customFormat="1" ht="21.95" customHeight="1" thickBot="1" x14ac:dyDescent="0.25">
      <c r="A2" s="343" t="s">
        <v>10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68"/>
    </row>
    <row r="3" spans="1:18" s="4" customFormat="1" ht="12" customHeight="1" x14ac:dyDescent="0.25">
      <c r="A3" s="344" t="s">
        <v>176</v>
      </c>
      <c r="B3" s="345"/>
      <c r="C3" s="345"/>
      <c r="D3" s="348" t="e">
        <f>#REF!</f>
        <v>#REF!</v>
      </c>
      <c r="E3" s="348"/>
      <c r="F3" s="348"/>
      <c r="G3" s="56"/>
      <c r="H3" s="148"/>
      <c r="I3" s="148"/>
      <c r="J3" s="148"/>
      <c r="K3" s="350" t="s">
        <v>200</v>
      </c>
      <c r="L3" s="351"/>
      <c r="M3" s="354" t="s">
        <v>216</v>
      </c>
      <c r="N3" s="355"/>
      <c r="O3" s="356"/>
      <c r="P3" s="69"/>
      <c r="Q3" s="198" t="s">
        <v>239</v>
      </c>
    </row>
    <row r="4" spans="1:18" ht="12" customHeight="1" thickBot="1" x14ac:dyDescent="0.3">
      <c r="A4" s="346"/>
      <c r="B4" s="347"/>
      <c r="C4" s="347"/>
      <c r="D4" s="349"/>
      <c r="E4" s="349"/>
      <c r="F4" s="349"/>
      <c r="G4" s="152"/>
      <c r="H4" s="149"/>
      <c r="I4" s="149"/>
      <c r="J4" s="149"/>
      <c r="K4" s="352"/>
      <c r="L4" s="353"/>
      <c r="M4" s="357" t="s">
        <v>234</v>
      </c>
      <c r="N4" s="358"/>
      <c r="O4" s="359"/>
      <c r="P4" s="70"/>
    </row>
    <row r="5" spans="1:18" ht="12" customHeight="1" thickBot="1" x14ac:dyDescent="0.3">
      <c r="A5" s="329" t="s">
        <v>14</v>
      </c>
      <c r="B5" s="330"/>
      <c r="C5" s="330"/>
      <c r="D5" s="331" t="e">
        <f>#REF!</f>
        <v>#REF!</v>
      </c>
      <c r="E5" s="331"/>
      <c r="F5" s="331"/>
      <c r="G5" s="119"/>
      <c r="H5" s="120"/>
      <c r="I5" s="120"/>
      <c r="J5" s="101"/>
      <c r="K5" s="333" t="s">
        <v>12</v>
      </c>
      <c r="L5" s="334" t="e">
        <f>#REF!+1</f>
        <v>#REF!</v>
      </c>
      <c r="M5" s="34"/>
      <c r="N5" s="35" t="s">
        <v>8</v>
      </c>
      <c r="O5" s="36" t="s">
        <v>9</v>
      </c>
      <c r="P5" s="71"/>
      <c r="Q5" s="5"/>
      <c r="R5" s="5"/>
    </row>
    <row r="6" spans="1:18" ht="12" customHeight="1" thickTop="1" x14ac:dyDescent="0.25">
      <c r="A6" s="329"/>
      <c r="B6" s="330"/>
      <c r="C6" s="330"/>
      <c r="D6" s="332"/>
      <c r="E6" s="332"/>
      <c r="F6" s="332"/>
      <c r="G6" s="152"/>
      <c r="H6" s="120"/>
      <c r="I6" s="120"/>
      <c r="J6" s="101"/>
      <c r="K6" s="333"/>
      <c r="L6" s="335"/>
      <c r="M6" s="37" t="s">
        <v>2</v>
      </c>
      <c r="N6" s="196" t="e">
        <f>'Period 1'!#REF!</f>
        <v>#REF!</v>
      </c>
      <c r="O6" s="197" t="e">
        <f>'Period 1'!#REF!</f>
        <v>#REF!</v>
      </c>
      <c r="P6" s="72"/>
    </row>
    <row r="7" spans="1:18" ht="12" customHeight="1" x14ac:dyDescent="0.25">
      <c r="A7" s="329" t="s">
        <v>6</v>
      </c>
      <c r="B7" s="330"/>
      <c r="C7" s="330"/>
      <c r="D7" s="338" t="e">
        <f>#REF!</f>
        <v>#REF!</v>
      </c>
      <c r="E7" s="338"/>
      <c r="F7" s="338"/>
      <c r="G7" s="122"/>
      <c r="H7" s="121"/>
      <c r="I7" s="121"/>
      <c r="J7" s="101"/>
      <c r="K7" s="333" t="s">
        <v>13</v>
      </c>
      <c r="L7" s="341" t="e">
        <f>EDATE(L5,12)-1</f>
        <v>#REF!</v>
      </c>
      <c r="M7" s="38" t="s">
        <v>3</v>
      </c>
      <c r="N7" s="39">
        <f>'Period 1'!$L$7</f>
        <v>0</v>
      </c>
      <c r="O7" s="40">
        <f>'Period 1'!$M$7</f>
        <v>0</v>
      </c>
      <c r="P7" s="72"/>
    </row>
    <row r="8" spans="1:18" ht="12.75" customHeight="1" x14ac:dyDescent="0.25">
      <c r="A8" s="329"/>
      <c r="B8" s="330"/>
      <c r="C8" s="330"/>
      <c r="D8" s="339"/>
      <c r="E8" s="339"/>
      <c r="F8" s="339"/>
      <c r="G8" s="122"/>
      <c r="H8" s="121"/>
      <c r="I8" s="121"/>
      <c r="K8" s="333"/>
      <c r="L8" s="335"/>
      <c r="M8" s="38" t="s">
        <v>4</v>
      </c>
      <c r="N8" s="39">
        <f>'Period 1'!$K$8</f>
        <v>0</v>
      </c>
      <c r="O8" s="40">
        <f>'Period 1'!$M$8</f>
        <v>0</v>
      </c>
      <c r="P8" s="72"/>
    </row>
    <row r="9" spans="1:18" ht="12" customHeight="1" thickBot="1" x14ac:dyDescent="0.3">
      <c r="A9" s="336"/>
      <c r="B9" s="337"/>
      <c r="C9" s="337"/>
      <c r="D9" s="340"/>
      <c r="E9" s="340"/>
      <c r="F9" s="340"/>
      <c r="G9" s="123"/>
      <c r="H9" s="57"/>
      <c r="I9" s="153"/>
      <c r="J9" s="153"/>
      <c r="K9" s="153"/>
      <c r="L9" s="58"/>
      <c r="M9" s="41" t="s">
        <v>5</v>
      </c>
      <c r="N9" s="42">
        <f>'Period 1'!$L$9</f>
        <v>0</v>
      </c>
      <c r="O9" s="43">
        <f>'Period 1'!$M$9</f>
        <v>0</v>
      </c>
      <c r="P9" s="72"/>
    </row>
    <row r="10" spans="1:18" ht="13.5" hidden="1" thickBot="1" x14ac:dyDescent="0.25">
      <c r="B10" s="52"/>
      <c r="C10" s="52"/>
      <c r="D10" s="52"/>
      <c r="E10" s="89" t="s">
        <v>173</v>
      </c>
      <c r="F10" s="90" t="s">
        <v>66</v>
      </c>
      <c r="G10" s="90" t="s">
        <v>67</v>
      </c>
      <c r="H10" s="90" t="s">
        <v>68</v>
      </c>
      <c r="I10" s="90" t="s">
        <v>65</v>
      </c>
      <c r="J10" s="91" t="s">
        <v>71</v>
      </c>
      <c r="K10" s="52"/>
      <c r="L10" s="52"/>
      <c r="M10" s="52"/>
      <c r="N10" s="60" t="s">
        <v>26</v>
      </c>
      <c r="O10" s="61">
        <v>0</v>
      </c>
      <c r="P10" s="66"/>
    </row>
    <row r="11" spans="1:18" hidden="1" x14ac:dyDescent="0.2">
      <c r="B11" s="89" t="s">
        <v>173</v>
      </c>
      <c r="C11" s="91">
        <f>1/900</f>
        <v>1.1111111111111111E-3</v>
      </c>
      <c r="D11" s="191"/>
      <c r="E11" s="96" t="str">
        <f>N10</f>
        <v>Select One</v>
      </c>
      <c r="F11" s="52" t="str">
        <f>N10</f>
        <v>Select One</v>
      </c>
      <c r="G11" s="52" t="str">
        <f>N10</f>
        <v>Select One</v>
      </c>
      <c r="H11" s="52" t="str">
        <f>N10</f>
        <v>Select One</v>
      </c>
      <c r="I11" s="52" t="str">
        <f>N10</f>
        <v>Select One</v>
      </c>
      <c r="J11" s="93" t="str">
        <f>N10</f>
        <v>Select One</v>
      </c>
      <c r="K11" s="89" t="str">
        <f>B11&amp;M6</f>
        <v>FT_BE_09Emp/Family</v>
      </c>
      <c r="L11" s="99" t="e">
        <f>N6</f>
        <v>#REF!</v>
      </c>
      <c r="M11" s="100">
        <v>0.18</v>
      </c>
      <c r="N11" s="91">
        <v>100</v>
      </c>
      <c r="O11" s="52"/>
    </row>
    <row r="12" spans="1:18" hidden="1" x14ac:dyDescent="0.2">
      <c r="B12" s="92" t="s">
        <v>66</v>
      </c>
      <c r="C12" s="93">
        <f>1/1200</f>
        <v>8.3333333333333339E-4</v>
      </c>
      <c r="D12" s="191"/>
      <c r="E12" s="97" t="str">
        <f>M6</f>
        <v>Emp/Family</v>
      </c>
      <c r="F12" s="53" t="str">
        <f>M6</f>
        <v>Emp/Family</v>
      </c>
      <c r="G12" s="53" t="str">
        <f>M6</f>
        <v>Emp/Family</v>
      </c>
      <c r="H12" s="52" t="s">
        <v>69</v>
      </c>
      <c r="I12" s="52"/>
      <c r="J12" s="93" t="s">
        <v>69</v>
      </c>
      <c r="K12" s="92" t="str">
        <f>B11&amp;M7</f>
        <v>FT_BE_09Emp/Child</v>
      </c>
      <c r="L12" s="62">
        <f>N7</f>
        <v>0</v>
      </c>
      <c r="M12" s="63">
        <v>0.18</v>
      </c>
      <c r="N12" s="93">
        <v>100</v>
      </c>
      <c r="O12" s="52"/>
    </row>
    <row r="13" spans="1:18" hidden="1" x14ac:dyDescent="0.2">
      <c r="B13" s="92" t="s">
        <v>67</v>
      </c>
      <c r="C13" s="93">
        <f>1/1200</f>
        <v>8.3333333333333339E-4</v>
      </c>
      <c r="D13" s="191"/>
      <c r="E13" s="97" t="str">
        <f>M7</f>
        <v>Emp/Child</v>
      </c>
      <c r="F13" s="53" t="str">
        <f>M7</f>
        <v>Emp/Child</v>
      </c>
      <c r="G13" s="53" t="str">
        <f>M7</f>
        <v>Emp/Child</v>
      </c>
      <c r="H13" s="52"/>
      <c r="I13" s="52"/>
      <c r="J13" s="93"/>
      <c r="K13" s="92" t="str">
        <f>B11&amp;M8</f>
        <v>FT_BE_09Emp/Spouse</v>
      </c>
      <c r="L13" s="62">
        <f>N8</f>
        <v>0</v>
      </c>
      <c r="M13" s="63">
        <v>0.18</v>
      </c>
      <c r="N13" s="93">
        <v>100</v>
      </c>
      <c r="O13" s="52"/>
    </row>
    <row r="14" spans="1:18" hidden="1" x14ac:dyDescent="0.2">
      <c r="B14" s="92" t="s">
        <v>174</v>
      </c>
      <c r="C14" s="93">
        <f>1/1200</f>
        <v>8.3333333333333339E-4</v>
      </c>
      <c r="D14" s="191"/>
      <c r="E14" s="97" t="str">
        <f>M8</f>
        <v>Emp/Spouse</v>
      </c>
      <c r="F14" s="53" t="str">
        <f>M8</f>
        <v>Emp/Spouse</v>
      </c>
      <c r="G14" s="53" t="str">
        <f>M8</f>
        <v>Emp/Spouse</v>
      </c>
      <c r="H14" s="52"/>
      <c r="I14" s="52"/>
      <c r="J14" s="93"/>
      <c r="K14" s="92" t="str">
        <f>B11&amp;M9</f>
        <v>FT_BE_09Emp Only</v>
      </c>
      <c r="L14" s="62">
        <f>N9</f>
        <v>0</v>
      </c>
      <c r="M14" s="63">
        <v>0.18</v>
      </c>
      <c r="N14" s="93">
        <v>100</v>
      </c>
      <c r="O14" s="52"/>
    </row>
    <row r="15" spans="1:18" hidden="1" x14ac:dyDescent="0.2">
      <c r="B15" s="92" t="s">
        <v>71</v>
      </c>
      <c r="C15" s="93">
        <v>1</v>
      </c>
      <c r="D15" s="191"/>
      <c r="E15" s="97" t="str">
        <f>M9</f>
        <v>Emp Only</v>
      </c>
      <c r="F15" s="53" t="str">
        <f>M9</f>
        <v>Emp Only</v>
      </c>
      <c r="G15" s="53" t="str">
        <f>M9</f>
        <v>Emp Only</v>
      </c>
      <c r="H15" s="52"/>
      <c r="I15" s="52"/>
      <c r="J15" s="93"/>
      <c r="K15" s="92" t="str">
        <f>B12&amp;M6</f>
        <v>FT_BE_12Emp/Family</v>
      </c>
      <c r="L15" s="62" t="e">
        <f>N6</f>
        <v>#REF!</v>
      </c>
      <c r="M15" s="63">
        <v>0.18</v>
      </c>
      <c r="N15" s="93">
        <v>100</v>
      </c>
      <c r="O15" s="52"/>
    </row>
    <row r="16" spans="1:18" ht="13.5" hidden="1" thickBot="1" x14ac:dyDescent="0.25">
      <c r="B16" s="94" t="s">
        <v>65</v>
      </c>
      <c r="C16" s="95">
        <v>0</v>
      </c>
      <c r="D16" s="191"/>
      <c r="E16" s="94" t="s">
        <v>69</v>
      </c>
      <c r="F16" s="190" t="s">
        <v>69</v>
      </c>
      <c r="G16" s="190" t="s">
        <v>69</v>
      </c>
      <c r="H16" s="98"/>
      <c r="I16" s="98"/>
      <c r="J16" s="95"/>
      <c r="K16" s="92" t="str">
        <f>B12&amp;M7</f>
        <v>FT_BE_12Emp/Child</v>
      </c>
      <c r="L16" s="62">
        <f>N7</f>
        <v>0</v>
      </c>
      <c r="M16" s="63">
        <v>0.18</v>
      </c>
      <c r="N16" s="93">
        <v>100</v>
      </c>
      <c r="O16" s="52"/>
    </row>
    <row r="17" spans="2:15" hidden="1" x14ac:dyDescent="0.2">
      <c r="B17" s="52"/>
      <c r="C17" s="52"/>
      <c r="D17" s="52"/>
      <c r="E17" s="52"/>
      <c r="F17" s="52"/>
      <c r="G17" s="52"/>
      <c r="H17" s="52"/>
      <c r="I17" s="52"/>
      <c r="J17" s="52"/>
      <c r="K17" s="92" t="str">
        <f>B12&amp;M8</f>
        <v>FT_BE_12Emp/Spouse</v>
      </c>
      <c r="L17" s="62">
        <f>N8</f>
        <v>0</v>
      </c>
      <c r="M17" s="63">
        <v>0.18</v>
      </c>
      <c r="N17" s="93">
        <v>100</v>
      </c>
      <c r="O17" s="52"/>
    </row>
    <row r="18" spans="2:15" hidden="1" x14ac:dyDescent="0.2">
      <c r="B18" s="52"/>
      <c r="C18" s="52"/>
      <c r="D18" s="52"/>
      <c r="E18" s="52"/>
      <c r="F18" s="52"/>
      <c r="G18" s="52"/>
      <c r="H18" s="52"/>
      <c r="I18" s="52"/>
      <c r="J18" s="52"/>
      <c r="K18" s="92" t="str">
        <f>B12&amp;M9</f>
        <v>FT_BE_12Emp Only</v>
      </c>
      <c r="L18" s="62">
        <f>N9</f>
        <v>0</v>
      </c>
      <c r="M18" s="63">
        <v>0.18</v>
      </c>
      <c r="N18" s="93">
        <v>100</v>
      </c>
      <c r="O18" s="52"/>
    </row>
    <row r="19" spans="2:15" hidden="1" x14ac:dyDescent="0.2">
      <c r="B19" s="52"/>
      <c r="C19" s="52"/>
      <c r="D19" s="52"/>
      <c r="E19" s="52"/>
      <c r="F19" s="52"/>
      <c r="G19" s="52"/>
      <c r="H19" s="52"/>
      <c r="I19" s="52"/>
      <c r="J19" s="52"/>
      <c r="K19" s="92" t="str">
        <f>B13&amp;M6</f>
        <v>PT_BE_12Emp/Family</v>
      </c>
      <c r="L19" s="62" t="e">
        <f>N6</f>
        <v>#REF!</v>
      </c>
      <c r="M19" s="63">
        <v>0.18</v>
      </c>
      <c r="N19" s="93">
        <v>50</v>
      </c>
      <c r="O19" s="52"/>
    </row>
    <row r="20" spans="2:15" hidden="1" x14ac:dyDescent="0.2">
      <c r="B20" s="52"/>
      <c r="C20" s="52"/>
      <c r="D20" s="52"/>
      <c r="E20" s="52"/>
      <c r="F20" s="52"/>
      <c r="G20" s="52"/>
      <c r="H20" s="52"/>
      <c r="I20" s="52"/>
      <c r="J20" s="52"/>
      <c r="K20" s="92" t="str">
        <f>B13&amp;M7</f>
        <v>PT_BE_12Emp/Child</v>
      </c>
      <c r="L20" s="62">
        <f>N7</f>
        <v>0</v>
      </c>
      <c r="M20" s="63">
        <v>0.18</v>
      </c>
      <c r="N20" s="93">
        <v>50</v>
      </c>
      <c r="O20" s="52"/>
    </row>
    <row r="21" spans="2:15" hidden="1" x14ac:dyDescent="0.2">
      <c r="B21" s="52"/>
      <c r="C21" s="52"/>
      <c r="D21" s="52"/>
      <c r="E21" s="52"/>
      <c r="F21" s="52"/>
      <c r="G21" s="52"/>
      <c r="H21" s="52"/>
      <c r="I21" s="52"/>
      <c r="J21" s="52"/>
      <c r="K21" s="92" t="str">
        <f>B13&amp;M8</f>
        <v>PT_BE_12Emp/Spouse</v>
      </c>
      <c r="L21" s="62">
        <f>N8</f>
        <v>0</v>
      </c>
      <c r="M21" s="63">
        <v>0.18</v>
      </c>
      <c r="N21" s="93">
        <v>50</v>
      </c>
      <c r="O21" s="52"/>
    </row>
    <row r="22" spans="2:15" hidden="1" x14ac:dyDescent="0.2">
      <c r="B22" s="52"/>
      <c r="C22" s="52"/>
      <c r="D22" s="52"/>
      <c r="E22" s="52"/>
      <c r="F22" s="52"/>
      <c r="G22" s="52"/>
      <c r="H22" s="52"/>
      <c r="I22" s="52"/>
      <c r="J22" s="52"/>
      <c r="K22" s="92" t="str">
        <f>B13&amp;M9</f>
        <v>PT_BE_12Emp Only</v>
      </c>
      <c r="L22" s="62">
        <f>N9</f>
        <v>0</v>
      </c>
      <c r="M22" s="63">
        <v>0.18</v>
      </c>
      <c r="N22" s="93">
        <v>50</v>
      </c>
      <c r="O22" s="52"/>
    </row>
    <row r="23" spans="2:15" hidden="1" x14ac:dyDescent="0.2">
      <c r="B23" s="52"/>
      <c r="C23" s="52"/>
      <c r="D23" s="52"/>
      <c r="E23" s="52"/>
      <c r="F23" s="52"/>
      <c r="G23" s="52"/>
      <c r="H23" s="52"/>
      <c r="I23" s="52"/>
      <c r="J23" s="52"/>
      <c r="K23" s="92" t="str">
        <f>B14&amp;H12</f>
        <v>PT_NB_12None</v>
      </c>
      <c r="L23" s="52">
        <v>0</v>
      </c>
      <c r="M23" s="63">
        <v>0.08</v>
      </c>
      <c r="N23" s="93">
        <v>0</v>
      </c>
      <c r="O23" s="52"/>
    </row>
    <row r="24" spans="2:15" hidden="1" x14ac:dyDescent="0.2">
      <c r="B24" s="52"/>
      <c r="C24" s="52"/>
      <c r="D24" s="52"/>
      <c r="E24" s="52"/>
      <c r="F24" s="52"/>
      <c r="G24" s="52"/>
      <c r="H24" s="52"/>
      <c r="I24" s="52"/>
      <c r="J24" s="52"/>
      <c r="K24" s="92" t="str">
        <f>B11&amp;N10</f>
        <v>FT_BE_09Select One</v>
      </c>
      <c r="L24" s="52">
        <v>0</v>
      </c>
      <c r="M24" s="63">
        <v>0</v>
      </c>
      <c r="N24" s="93">
        <v>0</v>
      </c>
      <c r="O24" s="52"/>
    </row>
    <row r="25" spans="2:15" hidden="1" x14ac:dyDescent="0.2">
      <c r="B25" s="52"/>
      <c r="C25" s="52"/>
      <c r="D25" s="52"/>
      <c r="E25" s="52"/>
      <c r="F25" s="52"/>
      <c r="G25" s="52"/>
      <c r="H25" s="52"/>
      <c r="I25" s="52"/>
      <c r="J25" s="52"/>
      <c r="K25" s="92" t="str">
        <f>B12&amp;N10</f>
        <v>FT_BE_12Select One</v>
      </c>
      <c r="L25" s="52">
        <v>0</v>
      </c>
      <c r="M25" s="63">
        <v>0</v>
      </c>
      <c r="N25" s="93">
        <v>0</v>
      </c>
      <c r="O25" s="52"/>
    </row>
    <row r="26" spans="2:15" hidden="1" x14ac:dyDescent="0.2">
      <c r="B26" s="52"/>
      <c r="C26" s="52"/>
      <c r="D26" s="52"/>
      <c r="E26" s="52"/>
      <c r="F26" s="52"/>
      <c r="G26" s="52"/>
      <c r="H26" s="52"/>
      <c r="I26" s="52"/>
      <c r="J26" s="52"/>
      <c r="K26" s="92" t="str">
        <f>B13&amp;N10</f>
        <v>PT_BE_12Select One</v>
      </c>
      <c r="L26" s="52">
        <v>0</v>
      </c>
      <c r="M26" s="63">
        <v>0</v>
      </c>
      <c r="N26" s="93">
        <v>0</v>
      </c>
      <c r="O26" s="52"/>
    </row>
    <row r="27" spans="2:15" hidden="1" x14ac:dyDescent="0.2">
      <c r="B27" s="52"/>
      <c r="C27" s="52"/>
      <c r="D27" s="52"/>
      <c r="E27" s="52"/>
      <c r="F27" s="52"/>
      <c r="G27" s="52"/>
      <c r="H27" s="52"/>
      <c r="I27" s="52"/>
      <c r="J27" s="52"/>
      <c r="K27" s="92" t="str">
        <f>B14&amp;N10</f>
        <v>PT_NB_12Select One</v>
      </c>
      <c r="L27" s="52">
        <v>0</v>
      </c>
      <c r="M27" s="63">
        <v>0</v>
      </c>
      <c r="N27" s="93">
        <v>0</v>
      </c>
      <c r="O27" s="52"/>
    </row>
    <row r="28" spans="2:15" hidden="1" x14ac:dyDescent="0.2">
      <c r="B28" s="52"/>
      <c r="C28" s="52"/>
      <c r="D28" s="52"/>
      <c r="E28" s="52"/>
      <c r="F28" s="52"/>
      <c r="G28" s="52"/>
      <c r="H28" s="52"/>
      <c r="I28" s="52"/>
      <c r="J28" s="52"/>
      <c r="K28" s="92" t="str">
        <f>B15&amp;J11</f>
        <v>HourlySelect One</v>
      </c>
      <c r="L28" s="52">
        <v>0</v>
      </c>
      <c r="M28" s="64">
        <v>0</v>
      </c>
      <c r="N28" s="93">
        <v>0</v>
      </c>
      <c r="O28" s="52"/>
    </row>
    <row r="29" spans="2:15" hidden="1" x14ac:dyDescent="0.2">
      <c r="B29" s="52"/>
      <c r="C29" s="52"/>
      <c r="D29" s="52"/>
      <c r="E29" s="52"/>
      <c r="F29" s="52"/>
      <c r="G29" s="52"/>
      <c r="H29" s="52"/>
      <c r="I29" s="52"/>
      <c r="J29" s="52"/>
      <c r="K29" s="92" t="str">
        <f>B15&amp;J12</f>
        <v>HourlyNone</v>
      </c>
      <c r="L29" s="52">
        <v>0</v>
      </c>
      <c r="M29" s="64">
        <v>0.08</v>
      </c>
      <c r="N29" s="93">
        <v>0</v>
      </c>
      <c r="O29" s="52"/>
    </row>
    <row r="30" spans="2:15" hidden="1" x14ac:dyDescent="0.2">
      <c r="B30" s="52"/>
      <c r="C30" s="52"/>
      <c r="D30" s="52"/>
      <c r="E30" s="52"/>
      <c r="F30" s="52"/>
      <c r="G30" s="52"/>
      <c r="H30" s="52"/>
      <c r="I30" s="52"/>
      <c r="J30" s="52"/>
      <c r="K30" s="92" t="str">
        <f>B11&amp;E16</f>
        <v>FT_BE_09None</v>
      </c>
      <c r="L30" s="52">
        <v>0</v>
      </c>
      <c r="M30" s="64">
        <v>0.18</v>
      </c>
      <c r="N30" s="93">
        <v>100</v>
      </c>
      <c r="O30" s="52"/>
    </row>
    <row r="31" spans="2:15" hidden="1" x14ac:dyDescent="0.2">
      <c r="B31" s="52"/>
      <c r="C31" s="52"/>
      <c r="D31" s="52"/>
      <c r="E31" s="52"/>
      <c r="F31" s="52"/>
      <c r="G31" s="52"/>
      <c r="H31" s="52"/>
      <c r="I31" s="52"/>
      <c r="J31" s="52"/>
      <c r="K31" s="92" t="str">
        <f>B12&amp;F16</f>
        <v>FT_BE_12None</v>
      </c>
      <c r="L31" s="52">
        <v>0</v>
      </c>
      <c r="M31" s="64">
        <v>0.18</v>
      </c>
      <c r="N31" s="93">
        <v>100</v>
      </c>
      <c r="O31" s="52"/>
    </row>
    <row r="32" spans="2:15" hidden="1" x14ac:dyDescent="0.2">
      <c r="B32" s="52"/>
      <c r="C32" s="52"/>
      <c r="D32" s="52"/>
      <c r="E32" s="52"/>
      <c r="F32" s="52"/>
      <c r="G32" s="52"/>
      <c r="H32" s="52"/>
      <c r="I32" s="52"/>
      <c r="J32" s="52"/>
      <c r="K32" s="92" t="str">
        <f>B13&amp;G16</f>
        <v>PT_BE_12None</v>
      </c>
      <c r="L32" s="52">
        <v>0</v>
      </c>
      <c r="M32" s="64">
        <v>0.18</v>
      </c>
      <c r="N32" s="93">
        <v>100</v>
      </c>
      <c r="O32" s="52"/>
    </row>
    <row r="33" spans="1:19" ht="13.5" hidden="1" thickBot="1" x14ac:dyDescent="0.25">
      <c r="B33" s="52"/>
      <c r="C33" s="52"/>
      <c r="D33" s="52"/>
      <c r="E33" s="52"/>
      <c r="F33" s="52"/>
      <c r="G33" s="52"/>
      <c r="H33" s="52"/>
      <c r="I33" s="52"/>
      <c r="J33" s="52"/>
      <c r="K33" s="94" t="str">
        <f>B16&amp;Select</f>
        <v>SelectSelect One</v>
      </c>
      <c r="L33" s="98">
        <v>0</v>
      </c>
      <c r="M33" s="98">
        <v>0</v>
      </c>
      <c r="N33" s="95">
        <v>0</v>
      </c>
      <c r="O33" s="52"/>
    </row>
    <row r="34" spans="1:19" ht="18" customHeight="1" thickBot="1" x14ac:dyDescent="0.25">
      <c r="A34" s="360"/>
      <c r="B34" s="360"/>
      <c r="C34" s="360"/>
      <c r="D34" s="360"/>
      <c r="E34" s="360"/>
      <c r="F34" s="360"/>
      <c r="G34" s="360"/>
      <c r="H34" s="360"/>
      <c r="I34" s="360"/>
      <c r="J34" s="360"/>
      <c r="K34" s="360"/>
      <c r="L34" s="360"/>
      <c r="M34" s="360"/>
      <c r="N34" s="360"/>
      <c r="O34" s="360"/>
    </row>
    <row r="35" spans="1:19" ht="13.5" customHeight="1" x14ac:dyDescent="0.2">
      <c r="A35" s="361" t="s">
        <v>38</v>
      </c>
      <c r="B35" s="409" t="s">
        <v>208</v>
      </c>
      <c r="C35" s="383"/>
      <c r="D35" s="383"/>
      <c r="E35" s="383"/>
      <c r="F35" s="383"/>
      <c r="G35" s="383"/>
      <c r="H35" s="383"/>
      <c r="I35" s="383"/>
      <c r="J35" s="383"/>
      <c r="K35" s="410" t="s">
        <v>70</v>
      </c>
      <c r="L35" s="411"/>
      <c r="M35" s="193" t="e">
        <f>SUM(M37:M63)</f>
        <v>#REF!</v>
      </c>
      <c r="N35" s="193" t="e">
        <f>SUM(N37:N63)</f>
        <v>#REF!</v>
      </c>
      <c r="O35" s="20" t="e">
        <f>SUM(O37:O63)</f>
        <v>#REF!</v>
      </c>
    </row>
    <row r="36" spans="1:19" ht="39" customHeight="1" x14ac:dyDescent="0.2">
      <c r="A36" s="362"/>
      <c r="B36" s="364" t="s">
        <v>60</v>
      </c>
      <c r="C36" s="364"/>
      <c r="D36" s="85" t="s">
        <v>1</v>
      </c>
      <c r="E36" s="85" t="s">
        <v>74</v>
      </c>
      <c r="F36" s="86" t="s">
        <v>15</v>
      </c>
      <c r="G36" s="365" t="s">
        <v>73</v>
      </c>
      <c r="H36" s="366"/>
      <c r="I36" s="85" t="s">
        <v>189</v>
      </c>
      <c r="J36" s="85" t="s">
        <v>72</v>
      </c>
      <c r="K36" s="87" t="s">
        <v>198</v>
      </c>
      <c r="L36" s="85" t="s">
        <v>7</v>
      </c>
      <c r="M36" s="85" t="s">
        <v>77</v>
      </c>
      <c r="N36" s="85" t="s">
        <v>31</v>
      </c>
      <c r="O36" s="88" t="s">
        <v>209</v>
      </c>
      <c r="P36" s="82"/>
      <c r="S36" s="7"/>
    </row>
    <row r="37" spans="1:19" ht="13.5" customHeight="1" x14ac:dyDescent="0.2">
      <c r="A37" s="362"/>
      <c r="B37" s="367" t="e">
        <f>IF(#REF!&lt;&gt;"",#REF!,"")</f>
        <v>#REF!</v>
      </c>
      <c r="C37" s="367"/>
      <c r="D37" s="129" t="e">
        <f>IF(#REF!&lt;&gt;"",#REF!,"")</f>
        <v>#REF!</v>
      </c>
      <c r="E37" s="124" t="e">
        <f>#REF!</f>
        <v>#REF!</v>
      </c>
      <c r="F37" s="54" t="e">
        <f>#REF!</f>
        <v>#REF!</v>
      </c>
      <c r="G37" s="368" t="e">
        <f>IF(E37="Hourly",ROUND(#REF!*1.03,2),ROUND(#REF!*1.03,0))</f>
        <v>#REF!</v>
      </c>
      <c r="H37" s="369"/>
      <c r="I37" s="8"/>
      <c r="J37" s="59"/>
      <c r="K37" s="9" t="e">
        <f>IF(E37="Hourly",I37*J37/173.33,I37*J37/100)</f>
        <v>#REF!</v>
      </c>
      <c r="L37" s="10" t="e">
        <f t="shared" ref="L37:L63" si="0">IF(M37&lt;&gt;0,SUM(N37/M37),"-")</f>
        <v>#REF!</v>
      </c>
      <c r="M37" s="45" t="e">
        <f t="shared" ref="M37:M63" si="1">ROUND((G37*I37*J37*VLOOKUP(E37,$B$11:$C$16,2,FALSE)),0)</f>
        <v>#REF!</v>
      </c>
      <c r="N37" s="45" t="e">
        <f t="shared" ref="N37:N63" si="2">ROUND(M37*VLOOKUP(E37&amp;F37,$K$11:$N$33,3,FALSE)+VLOOKUP(E37&amp;F37,$K$11:$N$33,2,FALSE)*MIN(J37,VLOOKUP(E37&amp;F37,$K$11:$N$33,4,FALSE))*I37/100,0)</f>
        <v>#REF!</v>
      </c>
      <c r="O37" s="46" t="e">
        <f t="shared" ref="O37:O63" si="3">M37+N37</f>
        <v>#REF!</v>
      </c>
      <c r="P37" s="73"/>
      <c r="Q37" s="17" t="s">
        <v>75</v>
      </c>
      <c r="S37" s="5"/>
    </row>
    <row r="38" spans="1:19" ht="13.5" customHeight="1" x14ac:dyDescent="0.2">
      <c r="A38" s="362"/>
      <c r="B38" s="367" t="e">
        <f>IF(#REF!&lt;&gt;"",#REF!,"")</f>
        <v>#REF!</v>
      </c>
      <c r="C38" s="367"/>
      <c r="D38" s="129" t="e">
        <f>IF(#REF!&lt;&gt;"",#REF!,"")</f>
        <v>#REF!</v>
      </c>
      <c r="E38" s="124" t="e">
        <f>#REF!</f>
        <v>#REF!</v>
      </c>
      <c r="F38" s="54" t="e">
        <f>#REF!</f>
        <v>#REF!</v>
      </c>
      <c r="G38" s="368" t="e">
        <f>IF(E38="Hourly",ROUND(#REF!*1.03,2),ROUND(#REF!*1.03,0))</f>
        <v>#REF!</v>
      </c>
      <c r="H38" s="369"/>
      <c r="I38" s="8"/>
      <c r="J38" s="59"/>
      <c r="K38" s="9" t="e">
        <f t="shared" ref="K38:K63" si="4">IF(E38="Hourly",I38*J38/173.33,I38*J38/100)</f>
        <v>#REF!</v>
      </c>
      <c r="L38" s="10" t="e">
        <f t="shared" si="0"/>
        <v>#REF!</v>
      </c>
      <c r="M38" s="45" t="e">
        <f t="shared" si="1"/>
        <v>#REF!</v>
      </c>
      <c r="N38" s="45" t="e">
        <f t="shared" si="2"/>
        <v>#REF!</v>
      </c>
      <c r="O38" s="11" t="e">
        <f t="shared" si="3"/>
        <v>#REF!</v>
      </c>
      <c r="P38" s="74"/>
      <c r="Q38" s="17" t="s">
        <v>194</v>
      </c>
      <c r="S38" s="5"/>
    </row>
    <row r="39" spans="1:19" ht="13.5" customHeight="1" x14ac:dyDescent="0.2">
      <c r="A39" s="362"/>
      <c r="B39" s="367" t="e">
        <f>IF(#REF!&lt;&gt;"",#REF!,"")</f>
        <v>#REF!</v>
      </c>
      <c r="C39" s="367"/>
      <c r="D39" s="129" t="e">
        <f>IF(#REF!&lt;&gt;"",#REF!,"")</f>
        <v>#REF!</v>
      </c>
      <c r="E39" s="124" t="e">
        <f>#REF!</f>
        <v>#REF!</v>
      </c>
      <c r="F39" s="54" t="e">
        <f>#REF!</f>
        <v>#REF!</v>
      </c>
      <c r="G39" s="368" t="e">
        <f>IF(E39="Hourly",ROUND(#REF!*1.03,2),ROUND(#REF!*1.03,0))</f>
        <v>#REF!</v>
      </c>
      <c r="H39" s="369"/>
      <c r="I39" s="8"/>
      <c r="J39" s="59"/>
      <c r="K39" s="9" t="e">
        <f t="shared" si="4"/>
        <v>#REF!</v>
      </c>
      <c r="L39" s="10" t="e">
        <f t="shared" si="0"/>
        <v>#REF!</v>
      </c>
      <c r="M39" s="45" t="e">
        <f t="shared" si="1"/>
        <v>#REF!</v>
      </c>
      <c r="N39" s="45" t="e">
        <f t="shared" si="2"/>
        <v>#REF!</v>
      </c>
      <c r="O39" s="11" t="e">
        <f t="shared" si="3"/>
        <v>#REF!</v>
      </c>
      <c r="P39" s="74"/>
      <c r="Q39" s="17" t="s">
        <v>195</v>
      </c>
      <c r="S39" s="5"/>
    </row>
    <row r="40" spans="1:19" ht="13.5" customHeight="1" x14ac:dyDescent="0.2">
      <c r="A40" s="362"/>
      <c r="B40" s="367" t="e">
        <f>IF(#REF!&lt;&gt;"",#REF!,"")</f>
        <v>#REF!</v>
      </c>
      <c r="C40" s="367"/>
      <c r="D40" s="129" t="e">
        <f>IF(#REF!&lt;&gt;"",#REF!,"")</f>
        <v>#REF!</v>
      </c>
      <c r="E40" s="124" t="e">
        <f>#REF!</f>
        <v>#REF!</v>
      </c>
      <c r="F40" s="54" t="e">
        <f>#REF!</f>
        <v>#REF!</v>
      </c>
      <c r="G40" s="368" t="e">
        <f>IF(E40="Hourly",ROUND(#REF!*1.03,2),ROUND(#REF!*1.03,0))</f>
        <v>#REF!</v>
      </c>
      <c r="H40" s="369"/>
      <c r="I40" s="8"/>
      <c r="J40" s="59"/>
      <c r="K40" s="9" t="e">
        <f t="shared" si="4"/>
        <v>#REF!</v>
      </c>
      <c r="L40" s="10" t="e">
        <f t="shared" si="0"/>
        <v>#REF!</v>
      </c>
      <c r="M40" s="45" t="e">
        <f t="shared" si="1"/>
        <v>#REF!</v>
      </c>
      <c r="N40" s="45" t="e">
        <f t="shared" si="2"/>
        <v>#REF!</v>
      </c>
      <c r="O40" s="11" t="e">
        <f t="shared" si="3"/>
        <v>#REF!</v>
      </c>
      <c r="P40" s="74"/>
      <c r="Q40" s="17" t="s">
        <v>196</v>
      </c>
      <c r="S40" s="5"/>
    </row>
    <row r="41" spans="1:19" ht="13.5" customHeight="1" x14ac:dyDescent="0.2">
      <c r="A41" s="362"/>
      <c r="B41" s="367" t="e">
        <f>IF(#REF!&lt;&gt;"",#REF!,"")</f>
        <v>#REF!</v>
      </c>
      <c r="C41" s="367"/>
      <c r="D41" s="129" t="e">
        <f>IF(#REF!&lt;&gt;"",#REF!,"")</f>
        <v>#REF!</v>
      </c>
      <c r="E41" s="124" t="e">
        <f>#REF!</f>
        <v>#REF!</v>
      </c>
      <c r="F41" s="54" t="e">
        <f>#REF!</f>
        <v>#REF!</v>
      </c>
      <c r="G41" s="368" t="e">
        <f>IF(E41="Hourly",ROUND(#REF!*1.03,2),ROUND(#REF!*1.03,0))</f>
        <v>#REF!</v>
      </c>
      <c r="H41" s="369"/>
      <c r="I41" s="8"/>
      <c r="J41" s="59"/>
      <c r="K41" s="9" t="e">
        <f t="shared" si="4"/>
        <v>#REF!</v>
      </c>
      <c r="L41" s="10" t="e">
        <f t="shared" si="0"/>
        <v>#REF!</v>
      </c>
      <c r="M41" s="45" t="e">
        <f t="shared" si="1"/>
        <v>#REF!</v>
      </c>
      <c r="N41" s="45" t="e">
        <f t="shared" si="2"/>
        <v>#REF!</v>
      </c>
      <c r="O41" s="11" t="e">
        <f t="shared" si="3"/>
        <v>#REF!</v>
      </c>
      <c r="P41" s="74"/>
      <c r="Q41" s="17" t="s">
        <v>192</v>
      </c>
      <c r="S41" s="5"/>
    </row>
    <row r="42" spans="1:19" ht="13.5" customHeight="1" x14ac:dyDescent="0.2">
      <c r="A42" s="362"/>
      <c r="B42" s="367" t="e">
        <f>IF(#REF!&lt;&gt;"",#REF!,"")</f>
        <v>#REF!</v>
      </c>
      <c r="C42" s="367"/>
      <c r="D42" s="129" t="e">
        <f>IF(#REF!&lt;&gt;"",#REF!,"")</f>
        <v>#REF!</v>
      </c>
      <c r="E42" s="124" t="e">
        <f>#REF!</f>
        <v>#REF!</v>
      </c>
      <c r="F42" s="54" t="e">
        <f>#REF!</f>
        <v>#REF!</v>
      </c>
      <c r="G42" s="368" t="e">
        <f>IF(E42="Hourly",ROUND(#REF!*1.03,2),ROUND(#REF!*1.03,0))</f>
        <v>#REF!</v>
      </c>
      <c r="H42" s="369"/>
      <c r="I42" s="8"/>
      <c r="J42" s="59"/>
      <c r="K42" s="9" t="e">
        <f t="shared" si="4"/>
        <v>#REF!</v>
      </c>
      <c r="L42" s="10" t="e">
        <f t="shared" si="0"/>
        <v>#REF!</v>
      </c>
      <c r="M42" s="45" t="e">
        <f t="shared" si="1"/>
        <v>#REF!</v>
      </c>
      <c r="N42" s="45" t="e">
        <f t="shared" si="2"/>
        <v>#REF!</v>
      </c>
      <c r="O42" s="11" t="e">
        <f t="shared" si="3"/>
        <v>#REF!</v>
      </c>
      <c r="P42" s="74"/>
      <c r="Q42" s="17" t="s">
        <v>193</v>
      </c>
      <c r="S42" s="3"/>
    </row>
    <row r="43" spans="1:19" ht="13.5" customHeight="1" x14ac:dyDescent="0.2">
      <c r="A43" s="362"/>
      <c r="B43" s="367" t="e">
        <f>IF(#REF!&lt;&gt;"",#REF!,"")</f>
        <v>#REF!</v>
      </c>
      <c r="C43" s="367"/>
      <c r="D43" s="129" t="e">
        <f>IF(#REF!&lt;&gt;"",#REF!,"")</f>
        <v>#REF!</v>
      </c>
      <c r="E43" s="124" t="e">
        <f>#REF!</f>
        <v>#REF!</v>
      </c>
      <c r="F43" s="54" t="e">
        <f>#REF!</f>
        <v>#REF!</v>
      </c>
      <c r="G43" s="368" t="e">
        <f>IF(E43="Hourly",ROUND(#REF!*1.03,2),ROUND(#REF!*1.03,0))</f>
        <v>#REF!</v>
      </c>
      <c r="H43" s="369"/>
      <c r="I43" s="8"/>
      <c r="J43" s="59"/>
      <c r="K43" s="9" t="e">
        <f t="shared" si="4"/>
        <v>#REF!</v>
      </c>
      <c r="L43" s="10" t="e">
        <f t="shared" si="0"/>
        <v>#REF!</v>
      </c>
      <c r="M43" s="45" t="e">
        <f t="shared" si="1"/>
        <v>#REF!</v>
      </c>
      <c r="N43" s="45" t="e">
        <f t="shared" si="2"/>
        <v>#REF!</v>
      </c>
      <c r="O43" s="11" t="e">
        <f t="shared" si="3"/>
        <v>#REF!</v>
      </c>
      <c r="P43" s="74"/>
      <c r="Q43" s="17"/>
      <c r="S43" s="3"/>
    </row>
    <row r="44" spans="1:19" ht="13.5" customHeight="1" x14ac:dyDescent="0.2">
      <c r="A44" s="362"/>
      <c r="B44" s="367" t="e">
        <f>IF(#REF!&lt;&gt;"",#REF!,"")</f>
        <v>#REF!</v>
      </c>
      <c r="C44" s="367"/>
      <c r="D44" s="129" t="e">
        <f>IF(#REF!&lt;&gt;"",#REF!,"")</f>
        <v>#REF!</v>
      </c>
      <c r="E44" s="124" t="e">
        <f>#REF!</f>
        <v>#REF!</v>
      </c>
      <c r="F44" s="54" t="e">
        <f>#REF!</f>
        <v>#REF!</v>
      </c>
      <c r="G44" s="368" t="e">
        <f>IF(E44="Hourly",ROUND(#REF!*1.03,2),ROUND(#REF!*1.03,0))</f>
        <v>#REF!</v>
      </c>
      <c r="H44" s="369"/>
      <c r="I44" s="8"/>
      <c r="J44" s="59"/>
      <c r="K44" s="9" t="e">
        <f t="shared" si="4"/>
        <v>#REF!</v>
      </c>
      <c r="L44" s="10" t="e">
        <f t="shared" si="0"/>
        <v>#REF!</v>
      </c>
      <c r="M44" s="45" t="e">
        <f t="shared" si="1"/>
        <v>#REF!</v>
      </c>
      <c r="N44" s="45" t="e">
        <f t="shared" si="2"/>
        <v>#REF!</v>
      </c>
      <c r="O44" s="11" t="e">
        <f t="shared" si="3"/>
        <v>#REF!</v>
      </c>
      <c r="P44" s="74"/>
      <c r="Q44" s="17"/>
      <c r="S44" s="3"/>
    </row>
    <row r="45" spans="1:19" ht="13.5" customHeight="1" x14ac:dyDescent="0.2">
      <c r="A45" s="362"/>
      <c r="B45" s="367" t="e">
        <f>IF(#REF!&lt;&gt;"",#REF!,"")</f>
        <v>#REF!</v>
      </c>
      <c r="C45" s="367"/>
      <c r="D45" s="129" t="e">
        <f>IF(#REF!&lt;&gt;"",#REF!,"")</f>
        <v>#REF!</v>
      </c>
      <c r="E45" s="124" t="e">
        <f>#REF!</f>
        <v>#REF!</v>
      </c>
      <c r="F45" s="54" t="e">
        <f>#REF!</f>
        <v>#REF!</v>
      </c>
      <c r="G45" s="368" t="e">
        <f>IF(E45="Hourly",ROUND(#REF!*1.03,2),ROUND(#REF!*1.03,0))</f>
        <v>#REF!</v>
      </c>
      <c r="H45" s="369"/>
      <c r="I45" s="8"/>
      <c r="J45" s="59"/>
      <c r="K45" s="9" t="e">
        <f t="shared" si="4"/>
        <v>#REF!</v>
      </c>
      <c r="L45" s="10" t="e">
        <f t="shared" si="0"/>
        <v>#REF!</v>
      </c>
      <c r="M45" s="45" t="e">
        <f t="shared" si="1"/>
        <v>#REF!</v>
      </c>
      <c r="N45" s="45" t="e">
        <f t="shared" si="2"/>
        <v>#REF!</v>
      </c>
      <c r="O45" s="11" t="e">
        <f t="shared" si="3"/>
        <v>#REF!</v>
      </c>
      <c r="P45" s="74"/>
      <c r="Q45" s="17"/>
      <c r="S45" s="3"/>
    </row>
    <row r="46" spans="1:19" ht="13.5" customHeight="1" x14ac:dyDescent="0.2">
      <c r="A46" s="362"/>
      <c r="B46" s="367" t="e">
        <f>IF(#REF!&lt;&gt;"",#REF!,"")</f>
        <v>#REF!</v>
      </c>
      <c r="C46" s="367"/>
      <c r="D46" s="129" t="e">
        <f>IF(#REF!&lt;&gt;"",#REF!,"")</f>
        <v>#REF!</v>
      </c>
      <c r="E46" s="124" t="e">
        <f>#REF!</f>
        <v>#REF!</v>
      </c>
      <c r="F46" s="54" t="e">
        <f>#REF!</f>
        <v>#REF!</v>
      </c>
      <c r="G46" s="368" t="e">
        <f>IF(E46="Hourly",ROUND(#REF!*1.03,2),ROUND(#REF!*1.03,0))</f>
        <v>#REF!</v>
      </c>
      <c r="H46" s="369"/>
      <c r="I46" s="8"/>
      <c r="J46" s="59"/>
      <c r="K46" s="9" t="e">
        <f t="shared" si="4"/>
        <v>#REF!</v>
      </c>
      <c r="L46" s="10" t="e">
        <f t="shared" si="0"/>
        <v>#REF!</v>
      </c>
      <c r="M46" s="45" t="e">
        <f t="shared" si="1"/>
        <v>#REF!</v>
      </c>
      <c r="N46" s="45" t="e">
        <f t="shared" si="2"/>
        <v>#REF!</v>
      </c>
      <c r="O46" s="11" t="e">
        <f t="shared" si="3"/>
        <v>#REF!</v>
      </c>
      <c r="P46" s="74"/>
      <c r="Q46" s="17"/>
      <c r="S46" s="3"/>
    </row>
    <row r="47" spans="1:19" ht="13.5" customHeight="1" thickBot="1" x14ac:dyDescent="0.25">
      <c r="A47" s="362"/>
      <c r="B47" s="367" t="e">
        <f>IF(#REF!&lt;&gt;"",#REF!,"")</f>
        <v>#REF!</v>
      </c>
      <c r="C47" s="367"/>
      <c r="D47" s="129" t="e">
        <f>IF(#REF!&lt;&gt;"",#REF!,"")</f>
        <v>#REF!</v>
      </c>
      <c r="E47" s="124" t="e">
        <f>#REF!</f>
        <v>#REF!</v>
      </c>
      <c r="F47" s="54" t="e">
        <f>#REF!</f>
        <v>#REF!</v>
      </c>
      <c r="G47" s="368" t="e">
        <f>IF(E47="Hourly",ROUND(#REF!*1.03,2),ROUND(#REF!*1.03,0))</f>
        <v>#REF!</v>
      </c>
      <c r="H47" s="369"/>
      <c r="I47" s="8"/>
      <c r="J47" s="59"/>
      <c r="K47" s="9" t="e">
        <f t="shared" si="4"/>
        <v>#REF!</v>
      </c>
      <c r="L47" s="10" t="e">
        <f t="shared" si="0"/>
        <v>#REF!</v>
      </c>
      <c r="M47" s="45" t="e">
        <f t="shared" si="1"/>
        <v>#REF!</v>
      </c>
      <c r="N47" s="45" t="e">
        <f t="shared" si="2"/>
        <v>#REF!</v>
      </c>
      <c r="O47" s="11" t="e">
        <f t="shared" si="3"/>
        <v>#REF!</v>
      </c>
      <c r="P47" s="74"/>
      <c r="Q47" s="17" t="s">
        <v>205</v>
      </c>
      <c r="S47" s="3"/>
    </row>
    <row r="48" spans="1:19" ht="13.5" hidden="1" customHeight="1" x14ac:dyDescent="0.2">
      <c r="A48" s="362"/>
      <c r="B48" s="367" t="e">
        <f>IF(#REF!&lt;&gt;"",#REF!,"")</f>
        <v>#REF!</v>
      </c>
      <c r="C48" s="367"/>
      <c r="D48" s="129" t="e">
        <f>IF(#REF!&lt;&gt;"",#REF!,"")</f>
        <v>#REF!</v>
      </c>
      <c r="E48" s="124" t="e">
        <f>#REF!</f>
        <v>#REF!</v>
      </c>
      <c r="F48" s="54" t="e">
        <f>#REF!</f>
        <v>#REF!</v>
      </c>
      <c r="G48" s="368" t="e">
        <f>IF(E48="Hourly",ROUND(#REF!*1.03,2),ROUND(#REF!*1.03,0))</f>
        <v>#REF!</v>
      </c>
      <c r="H48" s="369"/>
      <c r="I48" s="8"/>
      <c r="J48" s="59"/>
      <c r="K48" s="9" t="e">
        <f t="shared" si="4"/>
        <v>#REF!</v>
      </c>
      <c r="L48" s="10" t="e">
        <f t="shared" si="0"/>
        <v>#REF!</v>
      </c>
      <c r="M48" s="45" t="e">
        <f t="shared" si="1"/>
        <v>#REF!</v>
      </c>
      <c r="N48" s="45" t="e">
        <f t="shared" si="2"/>
        <v>#REF!</v>
      </c>
      <c r="O48" s="11" t="e">
        <f t="shared" si="3"/>
        <v>#REF!</v>
      </c>
      <c r="P48" s="74"/>
      <c r="Q48" s="17"/>
      <c r="S48" s="3"/>
    </row>
    <row r="49" spans="1:19" ht="13.5" hidden="1" customHeight="1" x14ac:dyDescent="0.2">
      <c r="A49" s="362"/>
      <c r="B49" s="367" t="e">
        <f>IF(#REF!&lt;&gt;"",#REF!,"")</f>
        <v>#REF!</v>
      </c>
      <c r="C49" s="367"/>
      <c r="D49" s="129" t="e">
        <f>IF(#REF!&lt;&gt;"",#REF!,"")</f>
        <v>#REF!</v>
      </c>
      <c r="E49" s="124" t="e">
        <f>#REF!</f>
        <v>#REF!</v>
      </c>
      <c r="F49" s="54" t="e">
        <f>#REF!</f>
        <v>#REF!</v>
      </c>
      <c r="G49" s="368" t="e">
        <f>IF(E49="Hourly",ROUND(#REF!*1.03,2),ROUND(#REF!*1.03,0))</f>
        <v>#REF!</v>
      </c>
      <c r="H49" s="369"/>
      <c r="I49" s="8"/>
      <c r="J49" s="59"/>
      <c r="K49" s="9" t="e">
        <f t="shared" si="4"/>
        <v>#REF!</v>
      </c>
      <c r="L49" s="10" t="e">
        <f t="shared" si="0"/>
        <v>#REF!</v>
      </c>
      <c r="M49" s="45" t="e">
        <f t="shared" si="1"/>
        <v>#REF!</v>
      </c>
      <c r="N49" s="45" t="e">
        <f t="shared" si="2"/>
        <v>#REF!</v>
      </c>
      <c r="O49" s="11" t="e">
        <f t="shared" si="3"/>
        <v>#REF!</v>
      </c>
      <c r="P49" s="74"/>
      <c r="Q49" s="17"/>
      <c r="S49" s="3"/>
    </row>
    <row r="50" spans="1:19" ht="13.5" hidden="1" customHeight="1" x14ac:dyDescent="0.2">
      <c r="A50" s="362"/>
      <c r="B50" s="367" t="e">
        <f>IF(#REF!&lt;&gt;"",#REF!,"")</f>
        <v>#REF!</v>
      </c>
      <c r="C50" s="367"/>
      <c r="D50" s="129" t="e">
        <f>IF(#REF!&lt;&gt;"",#REF!,"")</f>
        <v>#REF!</v>
      </c>
      <c r="E50" s="124" t="e">
        <f>#REF!</f>
        <v>#REF!</v>
      </c>
      <c r="F50" s="54" t="e">
        <f>#REF!</f>
        <v>#REF!</v>
      </c>
      <c r="G50" s="368" t="e">
        <f>IF(E50="Hourly",ROUND(#REF!*1.03,2),ROUND(#REF!*1.03,0))</f>
        <v>#REF!</v>
      </c>
      <c r="H50" s="369"/>
      <c r="I50" s="8"/>
      <c r="J50" s="59"/>
      <c r="K50" s="9" t="e">
        <f t="shared" si="4"/>
        <v>#REF!</v>
      </c>
      <c r="L50" s="10" t="e">
        <f t="shared" si="0"/>
        <v>#REF!</v>
      </c>
      <c r="M50" s="45" t="e">
        <f t="shared" si="1"/>
        <v>#REF!</v>
      </c>
      <c r="N50" s="45" t="e">
        <f t="shared" si="2"/>
        <v>#REF!</v>
      </c>
      <c r="O50" s="11" t="e">
        <f t="shared" si="3"/>
        <v>#REF!</v>
      </c>
      <c r="P50" s="74"/>
      <c r="Q50" s="17"/>
      <c r="S50" s="3"/>
    </row>
    <row r="51" spans="1:19" ht="13.5" hidden="1" customHeight="1" x14ac:dyDescent="0.2">
      <c r="A51" s="362"/>
      <c r="B51" s="367" t="e">
        <f>IF(#REF!&lt;&gt;"",#REF!,"")</f>
        <v>#REF!</v>
      </c>
      <c r="C51" s="367"/>
      <c r="D51" s="129" t="e">
        <f>IF(#REF!&lt;&gt;"",#REF!,"")</f>
        <v>#REF!</v>
      </c>
      <c r="E51" s="124" t="e">
        <f>#REF!</f>
        <v>#REF!</v>
      </c>
      <c r="F51" s="54" t="e">
        <f>#REF!</f>
        <v>#REF!</v>
      </c>
      <c r="G51" s="368" t="e">
        <f>IF(E51="Hourly",ROUND(#REF!*1.03,2),ROUND(#REF!*1.03,0))</f>
        <v>#REF!</v>
      </c>
      <c r="H51" s="369"/>
      <c r="I51" s="8"/>
      <c r="J51" s="59"/>
      <c r="K51" s="9" t="e">
        <f t="shared" si="4"/>
        <v>#REF!</v>
      </c>
      <c r="L51" s="10" t="e">
        <f t="shared" si="0"/>
        <v>#REF!</v>
      </c>
      <c r="M51" s="45" t="e">
        <f t="shared" si="1"/>
        <v>#REF!</v>
      </c>
      <c r="N51" s="45" t="e">
        <f t="shared" si="2"/>
        <v>#REF!</v>
      </c>
      <c r="O51" s="11" t="e">
        <f t="shared" si="3"/>
        <v>#REF!</v>
      </c>
      <c r="P51" s="74"/>
      <c r="Q51" s="17"/>
      <c r="S51" s="3"/>
    </row>
    <row r="52" spans="1:19" ht="13.5" hidden="1" customHeight="1" x14ac:dyDescent="0.2">
      <c r="A52" s="362"/>
      <c r="B52" s="367" t="e">
        <f>IF(#REF!&lt;&gt;"",#REF!,"")</f>
        <v>#REF!</v>
      </c>
      <c r="C52" s="367"/>
      <c r="D52" s="129" t="e">
        <f>IF(#REF!&lt;&gt;"",#REF!,"")</f>
        <v>#REF!</v>
      </c>
      <c r="E52" s="124" t="e">
        <f>#REF!</f>
        <v>#REF!</v>
      </c>
      <c r="F52" s="54" t="e">
        <f>#REF!</f>
        <v>#REF!</v>
      </c>
      <c r="G52" s="368" t="e">
        <f>IF(E52="Hourly",ROUND(#REF!*1.03,2),ROUND(#REF!*1.03,0))</f>
        <v>#REF!</v>
      </c>
      <c r="H52" s="369"/>
      <c r="I52" s="8"/>
      <c r="J52" s="59"/>
      <c r="K52" s="9" t="e">
        <f t="shared" si="4"/>
        <v>#REF!</v>
      </c>
      <c r="L52" s="10" t="e">
        <f t="shared" si="0"/>
        <v>#REF!</v>
      </c>
      <c r="M52" s="45" t="e">
        <f t="shared" si="1"/>
        <v>#REF!</v>
      </c>
      <c r="N52" s="45" t="e">
        <f t="shared" si="2"/>
        <v>#REF!</v>
      </c>
      <c r="O52" s="11" t="e">
        <f t="shared" si="3"/>
        <v>#REF!</v>
      </c>
      <c r="P52" s="74"/>
      <c r="Q52" s="17"/>
      <c r="S52" s="3"/>
    </row>
    <row r="53" spans="1:19" ht="13.5" hidden="1" customHeight="1" x14ac:dyDescent="0.2">
      <c r="A53" s="362"/>
      <c r="B53" s="367" t="e">
        <f>IF(#REF!&lt;&gt;"",#REF!,"")</f>
        <v>#REF!</v>
      </c>
      <c r="C53" s="367"/>
      <c r="D53" s="129" t="e">
        <f>IF(#REF!&lt;&gt;"",#REF!,"")</f>
        <v>#REF!</v>
      </c>
      <c r="E53" s="124" t="e">
        <f>#REF!</f>
        <v>#REF!</v>
      </c>
      <c r="F53" s="54" t="e">
        <f>#REF!</f>
        <v>#REF!</v>
      </c>
      <c r="G53" s="368" t="e">
        <f>IF(E53="Hourly",ROUND(#REF!*1.03,2),ROUND(#REF!*1.03,0))</f>
        <v>#REF!</v>
      </c>
      <c r="H53" s="369"/>
      <c r="I53" s="8"/>
      <c r="J53" s="59"/>
      <c r="K53" s="9" t="e">
        <f t="shared" si="4"/>
        <v>#REF!</v>
      </c>
      <c r="L53" s="10" t="e">
        <f t="shared" si="0"/>
        <v>#REF!</v>
      </c>
      <c r="M53" s="45" t="e">
        <f t="shared" si="1"/>
        <v>#REF!</v>
      </c>
      <c r="N53" s="45" t="e">
        <f t="shared" si="2"/>
        <v>#REF!</v>
      </c>
      <c r="O53" s="11" t="e">
        <f t="shared" si="3"/>
        <v>#REF!</v>
      </c>
      <c r="P53" s="74"/>
      <c r="Q53" s="17"/>
      <c r="S53" s="3"/>
    </row>
    <row r="54" spans="1:19" ht="13.5" hidden="1" customHeight="1" x14ac:dyDescent="0.2">
      <c r="A54" s="362"/>
      <c r="B54" s="367" t="e">
        <f>IF(#REF!&lt;&gt;"",#REF!,"")</f>
        <v>#REF!</v>
      </c>
      <c r="C54" s="367"/>
      <c r="D54" s="129" t="e">
        <f>IF(#REF!&lt;&gt;"",#REF!,"")</f>
        <v>#REF!</v>
      </c>
      <c r="E54" s="124" t="e">
        <f>#REF!</f>
        <v>#REF!</v>
      </c>
      <c r="F54" s="54" t="e">
        <f>#REF!</f>
        <v>#REF!</v>
      </c>
      <c r="G54" s="368" t="e">
        <f>IF(E54="Hourly",ROUND(#REF!*1.03,2),ROUND(#REF!*1.03,0))</f>
        <v>#REF!</v>
      </c>
      <c r="H54" s="369"/>
      <c r="I54" s="8"/>
      <c r="J54" s="59"/>
      <c r="K54" s="9" t="e">
        <f t="shared" si="4"/>
        <v>#REF!</v>
      </c>
      <c r="L54" s="10" t="e">
        <f t="shared" si="0"/>
        <v>#REF!</v>
      </c>
      <c r="M54" s="45" t="e">
        <f t="shared" si="1"/>
        <v>#REF!</v>
      </c>
      <c r="N54" s="45" t="e">
        <f t="shared" si="2"/>
        <v>#REF!</v>
      </c>
      <c r="O54" s="11" t="e">
        <f t="shared" si="3"/>
        <v>#REF!</v>
      </c>
      <c r="P54" s="74"/>
      <c r="Q54" s="17"/>
      <c r="S54" s="3"/>
    </row>
    <row r="55" spans="1:19" ht="13.5" hidden="1" customHeight="1" x14ac:dyDescent="0.2">
      <c r="A55" s="362"/>
      <c r="B55" s="367" t="e">
        <f>IF(#REF!&lt;&gt;"",#REF!,"")</f>
        <v>#REF!</v>
      </c>
      <c r="C55" s="367"/>
      <c r="D55" s="129" t="e">
        <f>IF(#REF!&lt;&gt;"",#REF!,"")</f>
        <v>#REF!</v>
      </c>
      <c r="E55" s="124" t="e">
        <f>#REF!</f>
        <v>#REF!</v>
      </c>
      <c r="F55" s="54" t="e">
        <f>#REF!</f>
        <v>#REF!</v>
      </c>
      <c r="G55" s="368" t="e">
        <f>IF(E55="Hourly",ROUND(#REF!*1.03,2),ROUND(#REF!*1.03,0))</f>
        <v>#REF!</v>
      </c>
      <c r="H55" s="369"/>
      <c r="I55" s="8"/>
      <c r="J55" s="59"/>
      <c r="K55" s="9" t="e">
        <f t="shared" si="4"/>
        <v>#REF!</v>
      </c>
      <c r="L55" s="10" t="e">
        <f t="shared" si="0"/>
        <v>#REF!</v>
      </c>
      <c r="M55" s="45" t="e">
        <f t="shared" si="1"/>
        <v>#REF!</v>
      </c>
      <c r="N55" s="45" t="e">
        <f t="shared" si="2"/>
        <v>#REF!</v>
      </c>
      <c r="O55" s="11" t="e">
        <f t="shared" si="3"/>
        <v>#REF!</v>
      </c>
      <c r="P55" s="74"/>
      <c r="Q55" s="17"/>
      <c r="S55" s="3"/>
    </row>
    <row r="56" spans="1:19" ht="13.5" hidden="1" customHeight="1" x14ac:dyDescent="0.2">
      <c r="A56" s="362"/>
      <c r="B56" s="367" t="e">
        <f>IF(#REF!&lt;&gt;"",#REF!,"")</f>
        <v>#REF!</v>
      </c>
      <c r="C56" s="367"/>
      <c r="D56" s="129" t="e">
        <f>IF(#REF!&lt;&gt;"",#REF!,"")</f>
        <v>#REF!</v>
      </c>
      <c r="E56" s="124" t="e">
        <f>#REF!</f>
        <v>#REF!</v>
      </c>
      <c r="F56" s="54" t="e">
        <f>#REF!</f>
        <v>#REF!</v>
      </c>
      <c r="G56" s="368" t="e">
        <f>IF(E56="Hourly",ROUND(#REF!*1.03,2),ROUND(#REF!*1.03,0))</f>
        <v>#REF!</v>
      </c>
      <c r="H56" s="369"/>
      <c r="I56" s="8"/>
      <c r="J56" s="59"/>
      <c r="K56" s="9" t="e">
        <f t="shared" si="4"/>
        <v>#REF!</v>
      </c>
      <c r="L56" s="10" t="e">
        <f t="shared" si="0"/>
        <v>#REF!</v>
      </c>
      <c r="M56" s="45" t="e">
        <f t="shared" si="1"/>
        <v>#REF!</v>
      </c>
      <c r="N56" s="45" t="e">
        <f t="shared" si="2"/>
        <v>#REF!</v>
      </c>
      <c r="O56" s="11" t="e">
        <f t="shared" si="3"/>
        <v>#REF!</v>
      </c>
      <c r="P56" s="74"/>
      <c r="Q56" s="17"/>
      <c r="S56" s="3"/>
    </row>
    <row r="57" spans="1:19" ht="13.5" hidden="1" customHeight="1" x14ac:dyDescent="0.2">
      <c r="A57" s="362"/>
      <c r="B57" s="367" t="e">
        <f>IF(#REF!&lt;&gt;"",#REF!,"")</f>
        <v>#REF!</v>
      </c>
      <c r="C57" s="367"/>
      <c r="D57" s="129" t="e">
        <f>IF(#REF!&lt;&gt;"",#REF!,"")</f>
        <v>#REF!</v>
      </c>
      <c r="E57" s="124" t="e">
        <f>#REF!</f>
        <v>#REF!</v>
      </c>
      <c r="F57" s="54" t="e">
        <f>#REF!</f>
        <v>#REF!</v>
      </c>
      <c r="G57" s="368" t="e">
        <f>IF(E57="Hourly",ROUND(#REF!*1.03,2),ROUND(#REF!*1.03,0))</f>
        <v>#REF!</v>
      </c>
      <c r="H57" s="369"/>
      <c r="I57" s="8"/>
      <c r="J57" s="59"/>
      <c r="K57" s="9" t="e">
        <f t="shared" si="4"/>
        <v>#REF!</v>
      </c>
      <c r="L57" s="10" t="e">
        <f t="shared" si="0"/>
        <v>#REF!</v>
      </c>
      <c r="M57" s="45" t="e">
        <f t="shared" si="1"/>
        <v>#REF!</v>
      </c>
      <c r="N57" s="45" t="e">
        <f t="shared" si="2"/>
        <v>#REF!</v>
      </c>
      <c r="O57" s="11" t="e">
        <f t="shared" si="3"/>
        <v>#REF!</v>
      </c>
      <c r="P57" s="74"/>
      <c r="Q57" s="17"/>
      <c r="S57" s="3"/>
    </row>
    <row r="58" spans="1:19" ht="13.5" hidden="1" customHeight="1" x14ac:dyDescent="0.2">
      <c r="A58" s="362"/>
      <c r="B58" s="367" t="e">
        <f>IF(#REF!&lt;&gt;"",#REF!,"")</f>
        <v>#REF!</v>
      </c>
      <c r="C58" s="367"/>
      <c r="D58" s="129" t="e">
        <f>IF(#REF!&lt;&gt;"",#REF!,"")</f>
        <v>#REF!</v>
      </c>
      <c r="E58" s="124" t="e">
        <f>#REF!</f>
        <v>#REF!</v>
      </c>
      <c r="F58" s="54" t="e">
        <f>#REF!</f>
        <v>#REF!</v>
      </c>
      <c r="G58" s="368" t="e">
        <f>IF(E58="Hourly",ROUND(#REF!*1.03,2),ROUND(#REF!*1.03,0))</f>
        <v>#REF!</v>
      </c>
      <c r="H58" s="369"/>
      <c r="I58" s="8"/>
      <c r="J58" s="59"/>
      <c r="K58" s="9" t="e">
        <f t="shared" si="4"/>
        <v>#REF!</v>
      </c>
      <c r="L58" s="10" t="e">
        <f t="shared" si="0"/>
        <v>#REF!</v>
      </c>
      <c r="M58" s="45" t="e">
        <f t="shared" si="1"/>
        <v>#REF!</v>
      </c>
      <c r="N58" s="45" t="e">
        <f t="shared" si="2"/>
        <v>#REF!</v>
      </c>
      <c r="O58" s="11" t="e">
        <f t="shared" si="3"/>
        <v>#REF!</v>
      </c>
      <c r="P58" s="74"/>
      <c r="Q58" s="17"/>
      <c r="S58" s="3"/>
    </row>
    <row r="59" spans="1:19" ht="13.5" hidden="1" customHeight="1" x14ac:dyDescent="0.2">
      <c r="A59" s="362"/>
      <c r="B59" s="367" t="e">
        <f>IF(#REF!&lt;&gt;"",#REF!,"")</f>
        <v>#REF!</v>
      </c>
      <c r="C59" s="367"/>
      <c r="D59" s="129" t="e">
        <f>IF(#REF!&lt;&gt;"",#REF!,"")</f>
        <v>#REF!</v>
      </c>
      <c r="E59" s="124" t="e">
        <f>#REF!</f>
        <v>#REF!</v>
      </c>
      <c r="F59" s="54" t="e">
        <f>#REF!</f>
        <v>#REF!</v>
      </c>
      <c r="G59" s="368" t="e">
        <f>IF(E59="Hourly",ROUND(#REF!*1.03,2),ROUND(#REF!*1.03,0))</f>
        <v>#REF!</v>
      </c>
      <c r="H59" s="369"/>
      <c r="I59" s="8"/>
      <c r="J59" s="59"/>
      <c r="K59" s="9" t="e">
        <f t="shared" si="4"/>
        <v>#REF!</v>
      </c>
      <c r="L59" s="10" t="e">
        <f t="shared" si="0"/>
        <v>#REF!</v>
      </c>
      <c r="M59" s="45" t="e">
        <f t="shared" si="1"/>
        <v>#REF!</v>
      </c>
      <c r="N59" s="45" t="e">
        <f t="shared" si="2"/>
        <v>#REF!</v>
      </c>
      <c r="O59" s="11" t="e">
        <f t="shared" si="3"/>
        <v>#REF!</v>
      </c>
      <c r="P59" s="74"/>
      <c r="Q59" s="17"/>
      <c r="S59" s="3"/>
    </row>
    <row r="60" spans="1:19" ht="13.5" hidden="1" customHeight="1" x14ac:dyDescent="0.2">
      <c r="A60" s="362"/>
      <c r="B60" s="367" t="e">
        <f>IF(#REF!&lt;&gt;"",#REF!,"")</f>
        <v>#REF!</v>
      </c>
      <c r="C60" s="367"/>
      <c r="D60" s="129" t="e">
        <f>IF(#REF!&lt;&gt;"",#REF!,"")</f>
        <v>#REF!</v>
      </c>
      <c r="E60" s="124" t="e">
        <f>#REF!</f>
        <v>#REF!</v>
      </c>
      <c r="F60" s="54" t="e">
        <f>#REF!</f>
        <v>#REF!</v>
      </c>
      <c r="G60" s="368" t="e">
        <f>IF(E60="Hourly",ROUND(#REF!*1.03,2),ROUND(#REF!*1.03,0))</f>
        <v>#REF!</v>
      </c>
      <c r="H60" s="369"/>
      <c r="I60" s="8"/>
      <c r="J60" s="59"/>
      <c r="K60" s="9" t="e">
        <f t="shared" si="4"/>
        <v>#REF!</v>
      </c>
      <c r="L60" s="10" t="e">
        <f t="shared" si="0"/>
        <v>#REF!</v>
      </c>
      <c r="M60" s="45" t="e">
        <f t="shared" si="1"/>
        <v>#REF!</v>
      </c>
      <c r="N60" s="45" t="e">
        <f t="shared" si="2"/>
        <v>#REF!</v>
      </c>
      <c r="O60" s="11" t="e">
        <f t="shared" si="3"/>
        <v>#REF!</v>
      </c>
      <c r="P60" s="74"/>
      <c r="Q60" s="17"/>
      <c r="S60" s="3"/>
    </row>
    <row r="61" spans="1:19" ht="13.5" hidden="1" customHeight="1" x14ac:dyDescent="0.2">
      <c r="A61" s="362"/>
      <c r="B61" s="367" t="e">
        <f>IF(#REF!&lt;&gt;"",#REF!,"")</f>
        <v>#REF!</v>
      </c>
      <c r="C61" s="367"/>
      <c r="D61" s="129" t="e">
        <f>IF(#REF!&lt;&gt;"",#REF!,"")</f>
        <v>#REF!</v>
      </c>
      <c r="E61" s="124" t="e">
        <f>#REF!</f>
        <v>#REF!</v>
      </c>
      <c r="F61" s="54" t="e">
        <f>#REF!</f>
        <v>#REF!</v>
      </c>
      <c r="G61" s="368" t="e">
        <f>IF(E61="Hourly",ROUND(#REF!*1.03,2),ROUND(#REF!*1.03,0))</f>
        <v>#REF!</v>
      </c>
      <c r="H61" s="369"/>
      <c r="I61" s="8"/>
      <c r="J61" s="59"/>
      <c r="K61" s="9" t="e">
        <f t="shared" si="4"/>
        <v>#REF!</v>
      </c>
      <c r="L61" s="10" t="e">
        <f t="shared" si="0"/>
        <v>#REF!</v>
      </c>
      <c r="M61" s="45" t="e">
        <f t="shared" si="1"/>
        <v>#REF!</v>
      </c>
      <c r="N61" s="45" t="e">
        <f t="shared" si="2"/>
        <v>#REF!</v>
      </c>
      <c r="O61" s="11" t="e">
        <f t="shared" si="3"/>
        <v>#REF!</v>
      </c>
      <c r="P61" s="74"/>
      <c r="Q61" s="17"/>
      <c r="S61" s="3"/>
    </row>
    <row r="62" spans="1:19" ht="13.5" hidden="1" customHeight="1" x14ac:dyDescent="0.2">
      <c r="A62" s="362"/>
      <c r="B62" s="367" t="e">
        <f>IF(#REF!&lt;&gt;"",#REF!,"")</f>
        <v>#REF!</v>
      </c>
      <c r="C62" s="367"/>
      <c r="D62" s="129" t="e">
        <f>IF(#REF!&lt;&gt;"",#REF!,"")</f>
        <v>#REF!</v>
      </c>
      <c r="E62" s="124" t="e">
        <f>#REF!</f>
        <v>#REF!</v>
      </c>
      <c r="F62" s="54" t="e">
        <f>#REF!</f>
        <v>#REF!</v>
      </c>
      <c r="G62" s="368" t="e">
        <f>IF(E62="Hourly",ROUND(#REF!*1.03,2),ROUND(#REF!*1.03,0))</f>
        <v>#REF!</v>
      </c>
      <c r="H62" s="369"/>
      <c r="I62" s="8"/>
      <c r="J62" s="59"/>
      <c r="K62" s="9" t="e">
        <f t="shared" si="4"/>
        <v>#REF!</v>
      </c>
      <c r="L62" s="10" t="e">
        <f t="shared" si="0"/>
        <v>#REF!</v>
      </c>
      <c r="M62" s="45" t="e">
        <f t="shared" si="1"/>
        <v>#REF!</v>
      </c>
      <c r="N62" s="45" t="e">
        <f t="shared" si="2"/>
        <v>#REF!</v>
      </c>
      <c r="O62" s="11" t="e">
        <f t="shared" si="3"/>
        <v>#REF!</v>
      </c>
      <c r="P62" s="74"/>
      <c r="S62" s="3"/>
    </row>
    <row r="63" spans="1:19" ht="13.5" hidden="1" customHeight="1" thickBot="1" x14ac:dyDescent="0.25">
      <c r="A63" s="362"/>
      <c r="B63" s="367" t="e">
        <f>IF(#REF!&lt;&gt;"",#REF!,"")</f>
        <v>#REF!</v>
      </c>
      <c r="C63" s="367"/>
      <c r="D63" s="129" t="e">
        <f>IF(#REF!&lt;&gt;"",#REF!,"")</f>
        <v>#REF!</v>
      </c>
      <c r="E63" s="124" t="e">
        <f>#REF!</f>
        <v>#REF!</v>
      </c>
      <c r="F63" s="54" t="e">
        <f>#REF!</f>
        <v>#REF!</v>
      </c>
      <c r="G63" s="368" t="e">
        <f>IF(E63="Hourly",ROUND(#REF!*1.03,2),ROUND(#REF!*1.03,0))</f>
        <v>#REF!</v>
      </c>
      <c r="H63" s="369"/>
      <c r="I63" s="8"/>
      <c r="J63" s="59"/>
      <c r="K63" s="9" t="e">
        <f t="shared" si="4"/>
        <v>#REF!</v>
      </c>
      <c r="L63" s="10" t="e">
        <f t="shared" si="0"/>
        <v>#REF!</v>
      </c>
      <c r="M63" s="45" t="e">
        <f t="shared" si="1"/>
        <v>#REF!</v>
      </c>
      <c r="N63" s="45" t="e">
        <f t="shared" si="2"/>
        <v>#REF!</v>
      </c>
      <c r="O63" s="11" t="e">
        <f t="shared" si="3"/>
        <v>#REF!</v>
      </c>
      <c r="P63" s="74"/>
      <c r="S63" s="3"/>
    </row>
    <row r="64" spans="1:19" ht="13.5" customHeight="1" x14ac:dyDescent="0.2">
      <c r="A64" s="362"/>
      <c r="B64" s="372" t="s">
        <v>24</v>
      </c>
      <c r="C64" s="372"/>
      <c r="D64" s="372"/>
      <c r="E64" s="372"/>
      <c r="F64" s="372"/>
      <c r="G64" s="372"/>
      <c r="H64" s="372"/>
      <c r="I64" s="372"/>
      <c r="J64" s="372"/>
      <c r="K64" s="372"/>
      <c r="L64" s="372"/>
      <c r="M64" s="372"/>
      <c r="N64" s="50" t="s">
        <v>0</v>
      </c>
      <c r="O64" s="20">
        <f>SUM(O65:O66)</f>
        <v>0</v>
      </c>
      <c r="P64" s="75"/>
    </row>
    <row r="65" spans="1:17" ht="13.5" customHeight="1" x14ac:dyDescent="0.2">
      <c r="A65" s="362"/>
      <c r="B65" s="367" t="s">
        <v>33</v>
      </c>
      <c r="C65" s="367"/>
      <c r="D65" s="367"/>
      <c r="E65" s="367"/>
      <c r="F65" s="367"/>
      <c r="G65" s="367"/>
      <c r="H65" s="367"/>
      <c r="I65" s="367"/>
      <c r="J65" s="367"/>
      <c r="K65" s="367"/>
      <c r="L65" s="367"/>
      <c r="M65" s="367"/>
      <c r="N65" s="370"/>
      <c r="O65" s="14"/>
      <c r="P65" s="76"/>
    </row>
    <row r="66" spans="1:17" ht="13.5" customHeight="1" thickBot="1" x14ac:dyDescent="0.25">
      <c r="A66" s="362"/>
      <c r="B66" s="367" t="s">
        <v>48</v>
      </c>
      <c r="C66" s="367"/>
      <c r="D66" s="367"/>
      <c r="E66" s="367"/>
      <c r="F66" s="367"/>
      <c r="G66" s="367"/>
      <c r="H66" s="367"/>
      <c r="I66" s="367"/>
      <c r="J66" s="367"/>
      <c r="K66" s="367"/>
      <c r="L66" s="367"/>
      <c r="M66" s="367"/>
      <c r="N66" s="370"/>
      <c r="O66" s="51"/>
      <c r="P66" s="76"/>
    </row>
    <row r="67" spans="1:17" ht="13.5" customHeight="1" x14ac:dyDescent="0.2">
      <c r="A67" s="362"/>
      <c r="B67" s="372" t="s">
        <v>52</v>
      </c>
      <c r="C67" s="372"/>
      <c r="D67" s="372"/>
      <c r="E67" s="372"/>
      <c r="F67" s="372"/>
      <c r="G67" s="372"/>
      <c r="H67" s="372"/>
      <c r="I67" s="372"/>
      <c r="J67" s="372"/>
      <c r="K67" s="372"/>
      <c r="L67" s="372"/>
      <c r="M67" s="372"/>
      <c r="N67" s="50" t="s">
        <v>0</v>
      </c>
      <c r="O67" s="20">
        <f>SUM(O68:O77)</f>
        <v>0</v>
      </c>
      <c r="P67" s="75"/>
    </row>
    <row r="68" spans="1:17" ht="13.5" customHeight="1" x14ac:dyDescent="0.2">
      <c r="A68" s="362"/>
      <c r="B68" s="367" t="s">
        <v>34</v>
      </c>
      <c r="C68" s="367"/>
      <c r="D68" s="367"/>
      <c r="E68" s="367"/>
      <c r="F68" s="367"/>
      <c r="G68" s="367"/>
      <c r="H68" s="367"/>
      <c r="I68" s="367"/>
      <c r="J68" s="367"/>
      <c r="K68" s="367"/>
      <c r="L68" s="367"/>
      <c r="M68" s="367"/>
      <c r="N68" s="370"/>
      <c r="O68" s="14"/>
      <c r="P68" s="76"/>
    </row>
    <row r="69" spans="1:17" ht="13.5" customHeight="1" x14ac:dyDescent="0.2">
      <c r="A69" s="362"/>
      <c r="B69" s="367" t="s">
        <v>44</v>
      </c>
      <c r="C69" s="367"/>
      <c r="D69" s="367"/>
      <c r="E69" s="367"/>
      <c r="F69" s="367"/>
      <c r="G69" s="367"/>
      <c r="H69" s="367"/>
      <c r="I69" s="367"/>
      <c r="J69" s="367"/>
      <c r="K69" s="367"/>
      <c r="L69" s="367"/>
      <c r="M69" s="367"/>
      <c r="N69" s="370"/>
      <c r="O69" s="16"/>
      <c r="P69" s="76"/>
    </row>
    <row r="70" spans="1:17" ht="13.5" customHeight="1" x14ac:dyDescent="0.2">
      <c r="A70" s="362"/>
      <c r="B70" s="367" t="s">
        <v>27</v>
      </c>
      <c r="C70" s="367"/>
      <c r="D70" s="367"/>
      <c r="E70" s="367"/>
      <c r="F70" s="367"/>
      <c r="G70" s="367"/>
      <c r="H70" s="367"/>
      <c r="I70" s="367"/>
      <c r="J70" s="367"/>
      <c r="K70" s="367"/>
      <c r="L70" s="367"/>
      <c r="M70" s="367"/>
      <c r="N70" s="370"/>
      <c r="O70" s="16"/>
      <c r="P70" s="76"/>
    </row>
    <row r="71" spans="1:17" ht="13.5" customHeight="1" x14ac:dyDescent="0.2">
      <c r="A71" s="362"/>
      <c r="B71" s="367" t="s">
        <v>35</v>
      </c>
      <c r="C71" s="367"/>
      <c r="D71" s="367"/>
      <c r="E71" s="367"/>
      <c r="F71" s="367"/>
      <c r="G71" s="367"/>
      <c r="H71" s="367"/>
      <c r="I71" s="367"/>
      <c r="J71" s="367"/>
      <c r="K71" s="367"/>
      <c r="L71" s="367"/>
      <c r="M71" s="367"/>
      <c r="N71" s="370"/>
      <c r="O71" s="16"/>
      <c r="P71" s="76"/>
    </row>
    <row r="72" spans="1:17" ht="13.5" customHeight="1" x14ac:dyDescent="0.2">
      <c r="A72" s="362"/>
      <c r="B72" s="47" t="s">
        <v>49</v>
      </c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8"/>
      <c r="O72" s="16"/>
      <c r="P72" s="76"/>
    </row>
    <row r="73" spans="1:17" ht="13.5" customHeight="1" x14ac:dyDescent="0.2">
      <c r="A73" s="362"/>
      <c r="B73" s="47" t="s">
        <v>50</v>
      </c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8"/>
      <c r="O73" s="16"/>
      <c r="P73" s="76"/>
    </row>
    <row r="74" spans="1:17" ht="13.5" customHeight="1" x14ac:dyDescent="0.2">
      <c r="A74" s="362"/>
      <c r="B74" s="371" t="s">
        <v>181</v>
      </c>
      <c r="C74" s="367"/>
      <c r="D74" s="367"/>
      <c r="E74" s="367"/>
      <c r="F74" s="367"/>
      <c r="G74" s="367"/>
      <c r="H74" s="367"/>
      <c r="I74" s="367"/>
      <c r="J74" s="367"/>
      <c r="K74" s="367"/>
      <c r="L74" s="367"/>
      <c r="M74" s="367"/>
      <c r="N74" s="370"/>
      <c r="O74" s="15"/>
      <c r="P74" s="76"/>
      <c r="Q74" s="17" t="s">
        <v>212</v>
      </c>
    </row>
    <row r="75" spans="1:17" ht="13.5" customHeight="1" x14ac:dyDescent="0.2">
      <c r="A75" s="362"/>
      <c r="B75" s="367" t="s">
        <v>80</v>
      </c>
      <c r="C75" s="367"/>
      <c r="D75" s="367"/>
      <c r="E75" s="367"/>
      <c r="F75" s="367"/>
      <c r="G75" s="367"/>
      <c r="H75" s="367"/>
      <c r="I75" s="367"/>
      <c r="J75" s="367"/>
      <c r="K75" s="367"/>
      <c r="L75" s="367"/>
      <c r="M75" s="367"/>
      <c r="N75" s="370"/>
      <c r="O75" s="15"/>
      <c r="P75" s="76"/>
    </row>
    <row r="76" spans="1:17" ht="13.5" customHeight="1" x14ac:dyDescent="0.2">
      <c r="A76" s="362"/>
      <c r="B76" s="379" t="s">
        <v>76</v>
      </c>
      <c r="C76" s="380"/>
      <c r="D76" s="380"/>
      <c r="E76" s="380"/>
      <c r="F76" s="380"/>
      <c r="G76" s="380"/>
      <c r="H76" s="380"/>
      <c r="I76" s="380"/>
      <c r="J76" s="380"/>
      <c r="K76" s="380"/>
      <c r="L76" s="380"/>
      <c r="M76" s="380"/>
      <c r="N76" s="380"/>
      <c r="O76" s="125"/>
      <c r="P76" s="76"/>
    </row>
    <row r="77" spans="1:17" ht="13.5" customHeight="1" thickBot="1" x14ac:dyDescent="0.25">
      <c r="A77" s="363"/>
      <c r="B77" s="381" t="s">
        <v>188</v>
      </c>
      <c r="C77" s="373"/>
      <c r="D77" s="373"/>
      <c r="E77" s="373"/>
      <c r="F77" s="373"/>
      <c r="G77" s="373"/>
      <c r="H77" s="373"/>
      <c r="I77" s="373"/>
      <c r="J77" s="373"/>
      <c r="K77" s="373"/>
      <c r="L77" s="373"/>
      <c r="M77" s="373"/>
      <c r="N77" s="374"/>
      <c r="O77" s="19"/>
      <c r="P77" s="76"/>
    </row>
    <row r="78" spans="1:17" ht="18" customHeight="1" thickBot="1" x14ac:dyDescent="0.25">
      <c r="A78" s="382"/>
      <c r="B78" s="382"/>
      <c r="C78" s="382"/>
      <c r="D78" s="382"/>
      <c r="E78" s="382"/>
      <c r="F78" s="382"/>
      <c r="G78" s="382"/>
      <c r="H78" s="382"/>
      <c r="I78" s="382"/>
      <c r="J78" s="382"/>
      <c r="K78" s="382"/>
      <c r="L78" s="382"/>
      <c r="M78" s="382"/>
      <c r="N78" s="382"/>
      <c r="O78" s="382"/>
      <c r="P78" s="77"/>
    </row>
    <row r="79" spans="1:17" ht="13.5" customHeight="1" x14ac:dyDescent="0.2">
      <c r="A79" s="361" t="s">
        <v>39</v>
      </c>
      <c r="B79" s="383" t="s">
        <v>64</v>
      </c>
      <c r="C79" s="383"/>
      <c r="D79" s="383"/>
      <c r="E79" s="383"/>
      <c r="F79" s="383"/>
      <c r="G79" s="383"/>
      <c r="H79" s="383"/>
      <c r="I79" s="383"/>
      <c r="J79" s="383"/>
      <c r="K79" s="383"/>
      <c r="L79" s="383"/>
      <c r="M79" s="383"/>
      <c r="N79" s="50" t="s">
        <v>0</v>
      </c>
      <c r="O79" s="20">
        <f>SUM(O80:O82)</f>
        <v>0</v>
      </c>
      <c r="P79" s="75"/>
    </row>
    <row r="80" spans="1:17" ht="13.5" customHeight="1" x14ac:dyDescent="0.2">
      <c r="A80" s="362"/>
      <c r="B80" s="367" t="s">
        <v>16</v>
      </c>
      <c r="C80" s="367"/>
      <c r="D80" s="367"/>
      <c r="E80" s="367"/>
      <c r="F80" s="367"/>
      <c r="G80" s="367"/>
      <c r="H80" s="367"/>
      <c r="I80" s="367"/>
      <c r="J80" s="367"/>
      <c r="K80" s="367"/>
      <c r="L80" s="367"/>
      <c r="M80" s="367"/>
      <c r="N80" s="370"/>
      <c r="O80" s="18"/>
      <c r="P80" s="76"/>
    </row>
    <row r="81" spans="1:17" ht="13.5" customHeight="1" x14ac:dyDescent="0.2">
      <c r="A81" s="362"/>
      <c r="B81" s="367" t="s">
        <v>17</v>
      </c>
      <c r="C81" s="367"/>
      <c r="D81" s="367"/>
      <c r="E81" s="367"/>
      <c r="F81" s="367"/>
      <c r="G81" s="367"/>
      <c r="H81" s="367"/>
      <c r="I81" s="367"/>
      <c r="J81" s="367"/>
      <c r="K81" s="367"/>
      <c r="L81" s="367"/>
      <c r="M81" s="367"/>
      <c r="N81" s="370"/>
      <c r="O81" s="12"/>
      <c r="P81" s="76"/>
    </row>
    <row r="82" spans="1:17" ht="13.5" customHeight="1" thickBot="1" x14ac:dyDescent="0.25">
      <c r="A82" s="362"/>
      <c r="B82" s="373" t="s">
        <v>18</v>
      </c>
      <c r="C82" s="373"/>
      <c r="D82" s="373"/>
      <c r="E82" s="373"/>
      <c r="F82" s="373"/>
      <c r="G82" s="373"/>
      <c r="H82" s="373"/>
      <c r="I82" s="373"/>
      <c r="J82" s="373"/>
      <c r="K82" s="373"/>
      <c r="L82" s="373"/>
      <c r="M82" s="373"/>
      <c r="N82" s="374"/>
      <c r="O82" s="13"/>
      <c r="P82" s="76"/>
    </row>
    <row r="83" spans="1:17" ht="13.5" customHeight="1" x14ac:dyDescent="0.2">
      <c r="A83" s="362"/>
      <c r="B83" s="372" t="s">
        <v>51</v>
      </c>
      <c r="C83" s="372"/>
      <c r="D83" s="372"/>
      <c r="E83" s="372"/>
      <c r="F83" s="372"/>
      <c r="G83" s="372"/>
      <c r="H83" s="372"/>
      <c r="I83" s="372"/>
      <c r="J83" s="372"/>
      <c r="K83" s="372"/>
      <c r="L83" s="372"/>
      <c r="M83" s="372"/>
      <c r="N83" s="50" t="s">
        <v>0</v>
      </c>
      <c r="O83" s="20">
        <f>SUM(O84:O87)</f>
        <v>0</v>
      </c>
      <c r="P83" s="75"/>
    </row>
    <row r="84" spans="1:17" ht="13.5" customHeight="1" x14ac:dyDescent="0.2">
      <c r="A84" s="362"/>
      <c r="B84" s="384" t="s">
        <v>28</v>
      </c>
      <c r="C84" s="384"/>
      <c r="D84" s="384"/>
      <c r="E84" s="384"/>
      <c r="F84" s="384"/>
      <c r="G84" s="384"/>
      <c r="H84" s="384"/>
      <c r="I84" s="384"/>
      <c r="J84" s="384"/>
      <c r="K84" s="384"/>
      <c r="L84" s="384"/>
      <c r="M84" s="384"/>
      <c r="N84" s="385"/>
      <c r="O84" s="14"/>
      <c r="P84" s="76"/>
    </row>
    <row r="85" spans="1:17" ht="13.5" customHeight="1" x14ac:dyDescent="0.2">
      <c r="A85" s="362"/>
      <c r="B85" s="367" t="s">
        <v>29</v>
      </c>
      <c r="C85" s="367"/>
      <c r="D85" s="367"/>
      <c r="E85" s="367"/>
      <c r="F85" s="367"/>
      <c r="G85" s="367"/>
      <c r="H85" s="367"/>
      <c r="I85" s="367"/>
      <c r="J85" s="367"/>
      <c r="K85" s="367"/>
      <c r="L85" s="367"/>
      <c r="M85" s="367"/>
      <c r="N85" s="370"/>
      <c r="O85" s="16"/>
      <c r="P85" s="76"/>
      <c r="Q85" s="17" t="s">
        <v>211</v>
      </c>
    </row>
    <row r="86" spans="1:17" ht="13.5" customHeight="1" x14ac:dyDescent="0.2">
      <c r="A86" s="362"/>
      <c r="B86" s="367" t="s">
        <v>47</v>
      </c>
      <c r="C86" s="367"/>
      <c r="D86" s="367"/>
      <c r="E86" s="367"/>
      <c r="F86" s="367"/>
      <c r="G86" s="367"/>
      <c r="H86" s="367"/>
      <c r="I86" s="367"/>
      <c r="J86" s="367"/>
      <c r="K86" s="367"/>
      <c r="L86" s="367"/>
      <c r="M86" s="367"/>
      <c r="N86" s="370"/>
      <c r="O86" s="16"/>
      <c r="P86" s="76"/>
    </row>
    <row r="87" spans="1:17" ht="13.5" customHeight="1" thickBot="1" x14ac:dyDescent="0.25">
      <c r="A87" s="362"/>
      <c r="B87" s="373" t="s">
        <v>30</v>
      </c>
      <c r="C87" s="373"/>
      <c r="D87" s="373"/>
      <c r="E87" s="373"/>
      <c r="F87" s="373"/>
      <c r="G87" s="373"/>
      <c r="H87" s="373"/>
      <c r="I87" s="373"/>
      <c r="J87" s="373"/>
      <c r="K87" s="373"/>
      <c r="L87" s="373"/>
      <c r="M87" s="373"/>
      <c r="N87" s="374"/>
      <c r="O87" s="19"/>
      <c r="P87" s="76"/>
      <c r="Q87" s="17" t="s">
        <v>213</v>
      </c>
    </row>
    <row r="88" spans="1:17" ht="13.5" customHeight="1" x14ac:dyDescent="0.2">
      <c r="A88" s="362"/>
      <c r="B88" s="375" t="s">
        <v>53</v>
      </c>
      <c r="C88" s="375"/>
      <c r="D88" s="375"/>
      <c r="E88" s="375"/>
      <c r="F88" s="375"/>
      <c r="G88" s="375"/>
      <c r="H88" s="375"/>
      <c r="I88" s="375"/>
      <c r="J88" s="375"/>
      <c r="K88" s="375"/>
      <c r="L88" s="375"/>
      <c r="M88" s="375"/>
      <c r="N88" s="50" t="s">
        <v>0</v>
      </c>
      <c r="O88" s="21">
        <f>SUM(O89:O94)</f>
        <v>0</v>
      </c>
      <c r="P88" s="75"/>
    </row>
    <row r="89" spans="1:17" ht="13.5" customHeight="1" x14ac:dyDescent="0.2">
      <c r="A89" s="362"/>
      <c r="B89" s="376" t="s">
        <v>199</v>
      </c>
      <c r="C89" s="377"/>
      <c r="D89" s="377"/>
      <c r="E89" s="377"/>
      <c r="F89" s="377"/>
      <c r="G89" s="377"/>
      <c r="H89" s="377"/>
      <c r="I89" s="377"/>
      <c r="J89" s="377"/>
      <c r="K89" s="377"/>
      <c r="L89" s="377"/>
      <c r="M89" s="377"/>
      <c r="N89" s="378"/>
      <c r="O89" s="154"/>
      <c r="P89" s="75"/>
      <c r="Q89" s="195" t="s">
        <v>214</v>
      </c>
    </row>
    <row r="90" spans="1:17" ht="13.5" customHeight="1" x14ac:dyDescent="0.2">
      <c r="A90" s="362"/>
      <c r="B90" s="367" t="s">
        <v>54</v>
      </c>
      <c r="C90" s="367"/>
      <c r="D90" s="367"/>
      <c r="E90" s="367"/>
      <c r="F90" s="367"/>
      <c r="G90" s="367"/>
      <c r="H90" s="367"/>
      <c r="I90" s="367"/>
      <c r="J90" s="367"/>
      <c r="K90" s="367"/>
      <c r="L90" s="367"/>
      <c r="M90" s="367"/>
      <c r="N90" s="370"/>
      <c r="O90" s="16"/>
      <c r="P90" s="76"/>
    </row>
    <row r="91" spans="1:17" ht="13.5" customHeight="1" x14ac:dyDescent="0.2">
      <c r="A91" s="362"/>
      <c r="B91" s="367" t="s">
        <v>55</v>
      </c>
      <c r="C91" s="367"/>
      <c r="D91" s="367"/>
      <c r="E91" s="367"/>
      <c r="F91" s="367"/>
      <c r="G91" s="367"/>
      <c r="H91" s="367"/>
      <c r="I91" s="367"/>
      <c r="J91" s="367"/>
      <c r="K91" s="367"/>
      <c r="L91" s="367"/>
      <c r="M91" s="367"/>
      <c r="N91" s="370"/>
      <c r="O91" s="15"/>
      <c r="P91" s="76"/>
    </row>
    <row r="92" spans="1:17" ht="13.5" customHeight="1" x14ac:dyDescent="0.2">
      <c r="A92" s="362"/>
      <c r="B92" s="371" t="s">
        <v>32</v>
      </c>
      <c r="C92" s="367"/>
      <c r="D92" s="367"/>
      <c r="E92" s="367"/>
      <c r="F92" s="367"/>
      <c r="G92" s="367"/>
      <c r="H92" s="367"/>
      <c r="I92" s="367"/>
      <c r="J92" s="367"/>
      <c r="K92" s="367"/>
      <c r="L92" s="367"/>
      <c r="M92" s="367"/>
      <c r="N92" s="370"/>
      <c r="O92" s="15"/>
      <c r="P92" s="76"/>
    </row>
    <row r="93" spans="1:17" ht="13.5" customHeight="1" x14ac:dyDescent="0.2">
      <c r="A93" s="362"/>
      <c r="B93" s="371" t="s">
        <v>81</v>
      </c>
      <c r="C93" s="367"/>
      <c r="D93" s="367"/>
      <c r="E93" s="367"/>
      <c r="F93" s="367"/>
      <c r="G93" s="367"/>
      <c r="H93" s="367"/>
      <c r="I93" s="367"/>
      <c r="J93" s="367"/>
      <c r="K93" s="367"/>
      <c r="L93" s="367"/>
      <c r="M93" s="367"/>
      <c r="N93" s="370"/>
      <c r="O93" s="15"/>
      <c r="P93" s="76"/>
    </row>
    <row r="94" spans="1:17" ht="13.5" customHeight="1" thickBot="1" x14ac:dyDescent="0.25">
      <c r="A94" s="363"/>
      <c r="B94" s="381" t="s">
        <v>188</v>
      </c>
      <c r="C94" s="373"/>
      <c r="D94" s="373"/>
      <c r="E94" s="373"/>
      <c r="F94" s="373"/>
      <c r="G94" s="373"/>
      <c r="H94" s="373"/>
      <c r="I94" s="373"/>
      <c r="J94" s="373"/>
      <c r="K94" s="373"/>
      <c r="L94" s="373"/>
      <c r="M94" s="373"/>
      <c r="N94" s="374"/>
      <c r="O94" s="22"/>
      <c r="P94" s="76"/>
    </row>
    <row r="95" spans="1:17" ht="18" customHeight="1" thickBot="1" x14ac:dyDescent="0.25">
      <c r="A95" s="31"/>
      <c r="B95" s="386"/>
      <c r="C95" s="386"/>
      <c r="D95" s="386"/>
      <c r="E95" s="386"/>
      <c r="F95" s="386"/>
      <c r="G95" s="386"/>
      <c r="H95" s="386"/>
      <c r="I95" s="386"/>
      <c r="J95" s="386"/>
      <c r="K95" s="386"/>
      <c r="L95" s="386"/>
      <c r="M95" s="386"/>
      <c r="N95" s="386"/>
      <c r="O95" s="386"/>
      <c r="P95" s="78"/>
    </row>
    <row r="96" spans="1:17" ht="13.5" customHeight="1" x14ac:dyDescent="0.2">
      <c r="A96" s="361" t="s">
        <v>41</v>
      </c>
      <c r="B96" s="387" t="s">
        <v>42</v>
      </c>
      <c r="C96" s="388"/>
      <c r="D96" s="388"/>
      <c r="E96" s="388"/>
      <c r="F96" s="388"/>
      <c r="G96" s="388"/>
      <c r="H96" s="388"/>
      <c r="I96" s="388"/>
      <c r="J96" s="388"/>
      <c r="K96" s="388"/>
      <c r="L96" s="388"/>
      <c r="M96" s="388"/>
      <c r="N96" s="102" t="s">
        <v>20</v>
      </c>
      <c r="O96" s="103">
        <f>J118</f>
        <v>0</v>
      </c>
      <c r="P96" s="74"/>
    </row>
    <row r="97" spans="1:17" ht="26.25" customHeight="1" x14ac:dyDescent="0.2">
      <c r="A97" s="362"/>
      <c r="B97" s="389" t="s">
        <v>59</v>
      </c>
      <c r="C97" s="49" t="s">
        <v>25</v>
      </c>
      <c r="D97" s="49"/>
      <c r="E97" s="49"/>
      <c r="F97" s="392" t="s">
        <v>177</v>
      </c>
      <c r="G97" s="393"/>
      <c r="H97" s="394" t="s">
        <v>178</v>
      </c>
      <c r="I97" s="394"/>
      <c r="J97" s="134" t="s">
        <v>179</v>
      </c>
      <c r="K97" s="150" t="s">
        <v>197</v>
      </c>
      <c r="L97" s="151" t="s">
        <v>57</v>
      </c>
      <c r="M97" s="44" t="s">
        <v>56</v>
      </c>
      <c r="N97" s="392" t="s">
        <v>180</v>
      </c>
      <c r="O97" s="401"/>
    </row>
    <row r="98" spans="1:17" ht="13.5" customHeight="1" x14ac:dyDescent="0.2">
      <c r="A98" s="362"/>
      <c r="B98" s="390"/>
      <c r="C98" s="395" t="e">
        <f>IF(#REF!&lt;&gt;"",#REF!,"")</f>
        <v>#REF!</v>
      </c>
      <c r="D98" s="396"/>
      <c r="E98" s="397"/>
      <c r="F98" s="398"/>
      <c r="G98" s="398"/>
      <c r="H98" s="398"/>
      <c r="I98" s="398"/>
      <c r="J98" s="135">
        <f>F98+H98</f>
        <v>0</v>
      </c>
      <c r="K98" s="132" t="e">
        <f>IF((J98+'Period 1'!#REF!+#REF!+#REF!+#REF!+#REF!)&lt;=24999,J98, 25000-'Period 1'!#REF!-#REF!-#REF!-#REF!-#REF!)</f>
        <v>#REF!</v>
      </c>
      <c r="L98" s="32" t="e">
        <f>F98+H98-K98</f>
        <v>#REF!</v>
      </c>
      <c r="M98" s="32" t="e">
        <f>ROUND(IF(($L$7-VLOOKUP($G$120,$I$121:$K$135,3,FALSE))&lt;0,$K98,ROUND((1-($L$7-VLOOKUP($G$120,$I$121:$K$135,3,FALSE))/($L$7 +1 - $L$5))*$K98,0))*M$140,0) +ROUND(IF(($L$7-VLOOKUP($G$120,$I$121:$K$135,3,FALSE))&lt;0,0,ROUND(($L$7-VLOOKUP($G$120,$I$121:$K$135,3,FALSE))/($L$7 +1 - $L$5)*$K98,0))*M$141,0)</f>
        <v>#REF!</v>
      </c>
      <c r="N98" s="399" t="e">
        <f>K98+L98+M98</f>
        <v>#REF!</v>
      </c>
      <c r="O98" s="400"/>
    </row>
    <row r="99" spans="1:17" ht="13.5" customHeight="1" x14ac:dyDescent="0.2">
      <c r="A99" s="362"/>
      <c r="B99" s="390"/>
      <c r="C99" s="395" t="e">
        <f>IF(#REF!&lt;&gt;"",#REF!,"")</f>
        <v>#REF!</v>
      </c>
      <c r="D99" s="396"/>
      <c r="E99" s="397"/>
      <c r="F99" s="398"/>
      <c r="G99" s="398"/>
      <c r="H99" s="398"/>
      <c r="I99" s="398"/>
      <c r="J99" s="135">
        <f t="shared" ref="J99:J117" si="5">F99+H99</f>
        <v>0</v>
      </c>
      <c r="K99" s="132" t="e">
        <f>IF((J99+'Period 1'!#REF!+#REF!+#REF!+#REF!+#REF!)&lt;=24999,J99, 25000-'Period 1'!#REF!-#REF!-#REF!-#REF!-#REF!)</f>
        <v>#REF!</v>
      </c>
      <c r="L99" s="32" t="e">
        <f>F99+H99-K99</f>
        <v>#REF!</v>
      </c>
      <c r="M99" s="32" t="e">
        <f t="shared" ref="M99:M117" si="6">ROUND(IF(($L$7-VLOOKUP($G$120,$I$121:$K$135,3,FALSE))&lt;0,$K99,ROUND((1-($L$7-VLOOKUP($G$120,$I$121:$K$135,3,FALSE))/($L$7 +1 - $L$5))*$K99,0))*M$140,0) +ROUND(IF(($L$7-VLOOKUP($G$120,$I$121:$K$135,3,FALSE))&lt;0,0,ROUND(($L$7-VLOOKUP($G$120,$I$121:$K$135,3,FALSE))/($L$7 +1 - $L$5)*$K99,0))*M$141,0)</f>
        <v>#REF!</v>
      </c>
      <c r="N99" s="399" t="e">
        <f t="shared" ref="N99:N117" si="7">K99+L99+M99</f>
        <v>#REF!</v>
      </c>
      <c r="O99" s="400"/>
    </row>
    <row r="100" spans="1:17" ht="13.5" customHeight="1" x14ac:dyDescent="0.2">
      <c r="A100" s="362"/>
      <c r="B100" s="390"/>
      <c r="C100" s="395" t="e">
        <f>IF(#REF!&lt;&gt;"",#REF!,"")</f>
        <v>#REF!</v>
      </c>
      <c r="D100" s="396"/>
      <c r="E100" s="397"/>
      <c r="F100" s="398"/>
      <c r="G100" s="398"/>
      <c r="H100" s="398"/>
      <c r="I100" s="398"/>
      <c r="J100" s="135">
        <f t="shared" si="5"/>
        <v>0</v>
      </c>
      <c r="K100" s="132" t="e">
        <f>IF((J100+'Period 1'!#REF!+#REF!+#REF!+#REF!+#REF!)&lt;=24999,J100, 25000-'Period 1'!#REF!-#REF!-#REF!-#REF!-#REF!)</f>
        <v>#REF!</v>
      </c>
      <c r="L100" s="32" t="e">
        <f>F100+H100-K100</f>
        <v>#REF!</v>
      </c>
      <c r="M100" s="32" t="e">
        <f t="shared" si="6"/>
        <v>#REF!</v>
      </c>
      <c r="N100" s="399" t="e">
        <f t="shared" si="7"/>
        <v>#REF!</v>
      </c>
      <c r="O100" s="400"/>
    </row>
    <row r="101" spans="1:17" ht="13.5" customHeight="1" x14ac:dyDescent="0.2">
      <c r="A101" s="362"/>
      <c r="B101" s="390"/>
      <c r="C101" s="395" t="e">
        <f>IF(#REF!&lt;&gt;"",#REF!,"")</f>
        <v>#REF!</v>
      </c>
      <c r="D101" s="396"/>
      <c r="E101" s="397"/>
      <c r="F101" s="398"/>
      <c r="G101" s="398"/>
      <c r="H101" s="398"/>
      <c r="I101" s="398"/>
      <c r="J101" s="135">
        <f t="shared" si="5"/>
        <v>0</v>
      </c>
      <c r="K101" s="132" t="e">
        <f>IF((J101+'Period 1'!#REF!+#REF!+#REF!+#REF!+#REF!)&lt;=24999,J101, 25000-'Period 1'!#REF!-#REF!-#REF!-#REF!-#REF!)</f>
        <v>#REF!</v>
      </c>
      <c r="L101" s="32" t="e">
        <f>F101+H101-K101</f>
        <v>#REF!</v>
      </c>
      <c r="M101" s="32" t="e">
        <f t="shared" si="6"/>
        <v>#REF!</v>
      </c>
      <c r="N101" s="399" t="e">
        <f t="shared" si="7"/>
        <v>#REF!</v>
      </c>
      <c r="O101" s="400"/>
    </row>
    <row r="102" spans="1:17" ht="13.5" customHeight="1" thickBot="1" x14ac:dyDescent="0.25">
      <c r="A102" s="362"/>
      <c r="B102" s="390"/>
      <c r="C102" s="395" t="e">
        <f>IF(#REF!&lt;&gt;"",#REF!,"")</f>
        <v>#REF!</v>
      </c>
      <c r="D102" s="396"/>
      <c r="E102" s="397"/>
      <c r="F102" s="404"/>
      <c r="G102" s="404"/>
      <c r="H102" s="404"/>
      <c r="I102" s="404"/>
      <c r="J102" s="136">
        <f t="shared" si="5"/>
        <v>0</v>
      </c>
      <c r="K102" s="132" t="e">
        <f>IF((J102+'Period 1'!#REF!+#REF!+#REF!+#REF!+#REF!)&lt;=24999,J102, 25000-'Period 1'!#REF!-#REF!-#REF!-#REF!-#REF!)</f>
        <v>#REF!</v>
      </c>
      <c r="L102" s="83" t="e">
        <f>F102+H102-K102</f>
        <v>#REF!</v>
      </c>
      <c r="M102" s="32" t="e">
        <f t="shared" si="6"/>
        <v>#REF!</v>
      </c>
      <c r="N102" s="405" t="e">
        <f t="shared" si="7"/>
        <v>#REF!</v>
      </c>
      <c r="O102" s="406"/>
      <c r="Q102" s="17" t="s">
        <v>215</v>
      </c>
    </row>
    <row r="103" spans="1:17" ht="13.5" hidden="1" customHeight="1" x14ac:dyDescent="0.2">
      <c r="A103" s="362"/>
      <c r="B103" s="390"/>
      <c r="C103" s="395" t="e">
        <f>IF(#REF!&lt;&gt;"",#REF!,"")</f>
        <v>#REF!</v>
      </c>
      <c r="D103" s="396"/>
      <c r="E103" s="397"/>
      <c r="F103" s="402"/>
      <c r="G103" s="403"/>
      <c r="H103" s="402"/>
      <c r="I103" s="403"/>
      <c r="J103" s="136">
        <f t="shared" si="5"/>
        <v>0</v>
      </c>
      <c r="K103" s="132" t="e">
        <f>IF((J103+'Period 1'!#REF!+#REF!+#REF!+#REF!+#REF!)&lt;=24999,J103, 25000-'Period 1'!#REF!-#REF!-#REF!-#REF!-#REF!)</f>
        <v>#REF!</v>
      </c>
      <c r="L103" s="83" t="e">
        <f t="shared" ref="L103:L117" si="8">F103+H103-K103</f>
        <v>#REF!</v>
      </c>
      <c r="M103" s="32" t="e">
        <f t="shared" si="6"/>
        <v>#REF!</v>
      </c>
      <c r="N103" s="399" t="e">
        <f t="shared" si="7"/>
        <v>#REF!</v>
      </c>
      <c r="O103" s="400"/>
    </row>
    <row r="104" spans="1:17" ht="13.5" hidden="1" customHeight="1" x14ac:dyDescent="0.2">
      <c r="A104" s="362"/>
      <c r="B104" s="390"/>
      <c r="C104" s="395" t="e">
        <f>IF(#REF!&lt;&gt;"",#REF!,"")</f>
        <v>#REF!</v>
      </c>
      <c r="D104" s="396"/>
      <c r="E104" s="397"/>
      <c r="F104" s="402"/>
      <c r="G104" s="403"/>
      <c r="H104" s="402"/>
      <c r="I104" s="403"/>
      <c r="J104" s="136">
        <f t="shared" si="5"/>
        <v>0</v>
      </c>
      <c r="K104" s="132" t="e">
        <f>IF((J104+'Period 1'!#REF!+#REF!+#REF!+#REF!+#REF!)&lt;=24999,J104, 25000-'Period 1'!#REF!-#REF!-#REF!-#REF!-#REF!)</f>
        <v>#REF!</v>
      </c>
      <c r="L104" s="83" t="e">
        <f t="shared" si="8"/>
        <v>#REF!</v>
      </c>
      <c r="M104" s="32" t="e">
        <f t="shared" si="6"/>
        <v>#REF!</v>
      </c>
      <c r="N104" s="399" t="e">
        <f t="shared" si="7"/>
        <v>#REF!</v>
      </c>
      <c r="O104" s="400"/>
    </row>
    <row r="105" spans="1:17" ht="13.5" hidden="1" customHeight="1" x14ac:dyDescent="0.2">
      <c r="A105" s="362"/>
      <c r="B105" s="390"/>
      <c r="C105" s="395" t="e">
        <f>IF(#REF!&lt;&gt;"",#REF!,"")</f>
        <v>#REF!</v>
      </c>
      <c r="D105" s="396"/>
      <c r="E105" s="397"/>
      <c r="F105" s="402"/>
      <c r="G105" s="403"/>
      <c r="H105" s="402"/>
      <c r="I105" s="403"/>
      <c r="J105" s="136">
        <f t="shared" si="5"/>
        <v>0</v>
      </c>
      <c r="K105" s="132" t="e">
        <f>IF((J105+'Period 1'!#REF!+#REF!+#REF!+#REF!+#REF!)&lt;=24999,J105, 25000-'Period 1'!#REF!-#REF!-#REF!-#REF!-#REF!)</f>
        <v>#REF!</v>
      </c>
      <c r="L105" s="83" t="e">
        <f t="shared" si="8"/>
        <v>#REF!</v>
      </c>
      <c r="M105" s="32" t="e">
        <f t="shared" si="6"/>
        <v>#REF!</v>
      </c>
      <c r="N105" s="399" t="e">
        <f t="shared" si="7"/>
        <v>#REF!</v>
      </c>
      <c r="O105" s="400"/>
    </row>
    <row r="106" spans="1:17" ht="13.5" hidden="1" customHeight="1" x14ac:dyDescent="0.2">
      <c r="A106" s="362"/>
      <c r="B106" s="390"/>
      <c r="C106" s="395" t="e">
        <f>IF(#REF!&lt;&gt;"",#REF!,"")</f>
        <v>#REF!</v>
      </c>
      <c r="D106" s="396"/>
      <c r="E106" s="397"/>
      <c r="F106" s="402"/>
      <c r="G106" s="403"/>
      <c r="H106" s="402"/>
      <c r="I106" s="403"/>
      <c r="J106" s="136">
        <f t="shared" si="5"/>
        <v>0</v>
      </c>
      <c r="K106" s="132" t="e">
        <f>IF((J106+'Period 1'!#REF!+#REF!+#REF!+#REF!+#REF!)&lt;=24999,J106, 25000-'Period 1'!#REF!-#REF!-#REF!-#REF!-#REF!)</f>
        <v>#REF!</v>
      </c>
      <c r="L106" s="83" t="e">
        <f t="shared" si="8"/>
        <v>#REF!</v>
      </c>
      <c r="M106" s="32" t="e">
        <f t="shared" si="6"/>
        <v>#REF!</v>
      </c>
      <c r="N106" s="399" t="e">
        <f t="shared" si="7"/>
        <v>#REF!</v>
      </c>
      <c r="O106" s="400"/>
    </row>
    <row r="107" spans="1:17" ht="13.5" hidden="1" customHeight="1" x14ac:dyDescent="0.2">
      <c r="A107" s="362"/>
      <c r="B107" s="390"/>
      <c r="C107" s="395" t="e">
        <f>IF(#REF!&lt;&gt;"",#REF!,"")</f>
        <v>#REF!</v>
      </c>
      <c r="D107" s="396"/>
      <c r="E107" s="397"/>
      <c r="F107" s="402"/>
      <c r="G107" s="403"/>
      <c r="H107" s="402"/>
      <c r="I107" s="403"/>
      <c r="J107" s="136">
        <f t="shared" si="5"/>
        <v>0</v>
      </c>
      <c r="K107" s="132" t="e">
        <f>IF((J107+'Period 1'!#REF!+#REF!+#REF!+#REF!+#REF!)&lt;=24999,J107, 25000-'Period 1'!#REF!-#REF!-#REF!-#REF!-#REF!)</f>
        <v>#REF!</v>
      </c>
      <c r="L107" s="83" t="e">
        <f t="shared" si="8"/>
        <v>#REF!</v>
      </c>
      <c r="M107" s="32" t="e">
        <f t="shared" si="6"/>
        <v>#REF!</v>
      </c>
      <c r="N107" s="399" t="e">
        <f t="shared" si="7"/>
        <v>#REF!</v>
      </c>
      <c r="O107" s="400"/>
    </row>
    <row r="108" spans="1:17" ht="13.5" hidden="1" customHeight="1" x14ac:dyDescent="0.2">
      <c r="A108" s="362"/>
      <c r="B108" s="390"/>
      <c r="C108" s="395" t="e">
        <f>IF(#REF!&lt;&gt;"",#REF!,"")</f>
        <v>#REF!</v>
      </c>
      <c r="D108" s="396"/>
      <c r="E108" s="397"/>
      <c r="F108" s="402"/>
      <c r="G108" s="403"/>
      <c r="H108" s="402"/>
      <c r="I108" s="403"/>
      <c r="J108" s="136">
        <f t="shared" si="5"/>
        <v>0</v>
      </c>
      <c r="K108" s="132" t="e">
        <f>IF((J108+'Period 1'!#REF!+#REF!+#REF!+#REF!+#REF!)&lt;=24999,J108, 25000-'Period 1'!#REF!-#REF!-#REF!-#REF!-#REF!)</f>
        <v>#REF!</v>
      </c>
      <c r="L108" s="83" t="e">
        <f t="shared" si="8"/>
        <v>#REF!</v>
      </c>
      <c r="M108" s="32" t="e">
        <f t="shared" si="6"/>
        <v>#REF!</v>
      </c>
      <c r="N108" s="399" t="e">
        <f t="shared" si="7"/>
        <v>#REF!</v>
      </c>
      <c r="O108" s="400"/>
    </row>
    <row r="109" spans="1:17" ht="13.5" hidden="1" customHeight="1" x14ac:dyDescent="0.2">
      <c r="A109" s="362"/>
      <c r="B109" s="390"/>
      <c r="C109" s="395" t="e">
        <f>IF(#REF!&lt;&gt;"",#REF!,"")</f>
        <v>#REF!</v>
      </c>
      <c r="D109" s="396"/>
      <c r="E109" s="397"/>
      <c r="F109" s="402"/>
      <c r="G109" s="403"/>
      <c r="H109" s="402"/>
      <c r="I109" s="403"/>
      <c r="J109" s="136">
        <f t="shared" si="5"/>
        <v>0</v>
      </c>
      <c r="K109" s="132" t="e">
        <f>IF((J109+'Period 1'!#REF!+#REF!+#REF!+#REF!+#REF!)&lt;=24999,J109, 25000-'Period 1'!#REF!-#REF!-#REF!-#REF!-#REF!)</f>
        <v>#REF!</v>
      </c>
      <c r="L109" s="83" t="e">
        <f t="shared" si="8"/>
        <v>#REF!</v>
      </c>
      <c r="M109" s="32" t="e">
        <f t="shared" si="6"/>
        <v>#REF!</v>
      </c>
      <c r="N109" s="399" t="e">
        <f t="shared" si="7"/>
        <v>#REF!</v>
      </c>
      <c r="O109" s="400"/>
    </row>
    <row r="110" spans="1:17" ht="13.5" hidden="1" customHeight="1" x14ac:dyDescent="0.2">
      <c r="A110" s="362"/>
      <c r="B110" s="390"/>
      <c r="C110" s="395" t="e">
        <f>IF(#REF!&lt;&gt;"",#REF!,"")</f>
        <v>#REF!</v>
      </c>
      <c r="D110" s="396"/>
      <c r="E110" s="397"/>
      <c r="F110" s="402"/>
      <c r="G110" s="403"/>
      <c r="H110" s="402"/>
      <c r="I110" s="403"/>
      <c r="J110" s="136">
        <f t="shared" si="5"/>
        <v>0</v>
      </c>
      <c r="K110" s="132" t="e">
        <f>IF((J110+'Period 1'!#REF!+#REF!+#REF!+#REF!+#REF!)&lt;=24999,J110, 25000-'Period 1'!#REF!-#REF!-#REF!-#REF!-#REF!)</f>
        <v>#REF!</v>
      </c>
      <c r="L110" s="83" t="e">
        <f t="shared" si="8"/>
        <v>#REF!</v>
      </c>
      <c r="M110" s="32" t="e">
        <f t="shared" si="6"/>
        <v>#REF!</v>
      </c>
      <c r="N110" s="399" t="e">
        <f t="shared" si="7"/>
        <v>#REF!</v>
      </c>
      <c r="O110" s="400"/>
    </row>
    <row r="111" spans="1:17" ht="13.5" hidden="1" customHeight="1" x14ac:dyDescent="0.2">
      <c r="A111" s="362"/>
      <c r="B111" s="390"/>
      <c r="C111" s="395" t="e">
        <f>IF(#REF!&lt;&gt;"",#REF!,"")</f>
        <v>#REF!</v>
      </c>
      <c r="D111" s="396"/>
      <c r="E111" s="397"/>
      <c r="F111" s="402"/>
      <c r="G111" s="403"/>
      <c r="H111" s="402"/>
      <c r="I111" s="403"/>
      <c r="J111" s="136">
        <f t="shared" si="5"/>
        <v>0</v>
      </c>
      <c r="K111" s="132" t="e">
        <f>IF((J111+'Period 1'!#REF!+#REF!+#REF!+#REF!+#REF!)&lt;=24999,J111, 25000-'Period 1'!#REF!-#REF!-#REF!-#REF!-#REF!)</f>
        <v>#REF!</v>
      </c>
      <c r="L111" s="83" t="e">
        <f t="shared" si="8"/>
        <v>#REF!</v>
      </c>
      <c r="M111" s="32" t="e">
        <f t="shared" si="6"/>
        <v>#REF!</v>
      </c>
      <c r="N111" s="399" t="e">
        <f t="shared" si="7"/>
        <v>#REF!</v>
      </c>
      <c r="O111" s="400"/>
    </row>
    <row r="112" spans="1:17" ht="13.5" hidden="1" customHeight="1" x14ac:dyDescent="0.2">
      <c r="A112" s="362"/>
      <c r="B112" s="390"/>
      <c r="C112" s="395" t="e">
        <f>IF(#REF!&lt;&gt;"",#REF!,"")</f>
        <v>#REF!</v>
      </c>
      <c r="D112" s="396"/>
      <c r="E112" s="397"/>
      <c r="F112" s="402"/>
      <c r="G112" s="403"/>
      <c r="H112" s="402"/>
      <c r="I112" s="403"/>
      <c r="J112" s="136">
        <f t="shared" si="5"/>
        <v>0</v>
      </c>
      <c r="K112" s="132" t="e">
        <f>IF((J112+'Period 1'!#REF!+#REF!+#REF!+#REF!+#REF!)&lt;=24999,J112, 25000-'Period 1'!#REF!-#REF!-#REF!-#REF!-#REF!)</f>
        <v>#REF!</v>
      </c>
      <c r="L112" s="83" t="e">
        <f t="shared" si="8"/>
        <v>#REF!</v>
      </c>
      <c r="M112" s="32" t="e">
        <f t="shared" si="6"/>
        <v>#REF!</v>
      </c>
      <c r="N112" s="399" t="e">
        <f t="shared" si="7"/>
        <v>#REF!</v>
      </c>
      <c r="O112" s="400"/>
    </row>
    <row r="113" spans="1:16" ht="13.5" hidden="1" customHeight="1" x14ac:dyDescent="0.2">
      <c r="A113" s="362"/>
      <c r="B113" s="390"/>
      <c r="C113" s="395" t="e">
        <f>IF(#REF!&lt;&gt;"",#REF!,"")</f>
        <v>#REF!</v>
      </c>
      <c r="D113" s="396"/>
      <c r="E113" s="397"/>
      <c r="F113" s="402"/>
      <c r="G113" s="403"/>
      <c r="H113" s="402"/>
      <c r="I113" s="403"/>
      <c r="J113" s="136">
        <f t="shared" si="5"/>
        <v>0</v>
      </c>
      <c r="K113" s="132" t="e">
        <f>IF((J113+'Period 1'!#REF!+#REF!+#REF!+#REF!+#REF!)&lt;=24999,J113, 25000-'Period 1'!#REF!-#REF!-#REF!-#REF!-#REF!)</f>
        <v>#REF!</v>
      </c>
      <c r="L113" s="83" t="e">
        <f t="shared" si="8"/>
        <v>#REF!</v>
      </c>
      <c r="M113" s="32" t="e">
        <f t="shared" si="6"/>
        <v>#REF!</v>
      </c>
      <c r="N113" s="399" t="e">
        <f t="shared" si="7"/>
        <v>#REF!</v>
      </c>
      <c r="O113" s="400"/>
    </row>
    <row r="114" spans="1:16" ht="13.5" hidden="1" customHeight="1" x14ac:dyDescent="0.2">
      <c r="A114" s="362"/>
      <c r="B114" s="390"/>
      <c r="C114" s="395" t="e">
        <f>IF(#REF!&lt;&gt;"",#REF!,"")</f>
        <v>#REF!</v>
      </c>
      <c r="D114" s="396"/>
      <c r="E114" s="397"/>
      <c r="F114" s="402"/>
      <c r="G114" s="403"/>
      <c r="H114" s="402"/>
      <c r="I114" s="403"/>
      <c r="J114" s="136">
        <f t="shared" si="5"/>
        <v>0</v>
      </c>
      <c r="K114" s="132" t="e">
        <f>IF((J114+'Period 1'!#REF!+#REF!+#REF!+#REF!+#REF!)&lt;=24999,J114, 25000-'Period 1'!#REF!-#REF!-#REF!-#REF!-#REF!)</f>
        <v>#REF!</v>
      </c>
      <c r="L114" s="83" t="e">
        <f t="shared" si="8"/>
        <v>#REF!</v>
      </c>
      <c r="M114" s="32" t="e">
        <f t="shared" si="6"/>
        <v>#REF!</v>
      </c>
      <c r="N114" s="399" t="e">
        <f t="shared" si="7"/>
        <v>#REF!</v>
      </c>
      <c r="O114" s="400"/>
    </row>
    <row r="115" spans="1:16" ht="13.5" hidden="1" customHeight="1" x14ac:dyDescent="0.2">
      <c r="A115" s="362"/>
      <c r="B115" s="390"/>
      <c r="C115" s="395" t="e">
        <f>IF(#REF!&lt;&gt;"",#REF!,"")</f>
        <v>#REF!</v>
      </c>
      <c r="D115" s="396"/>
      <c r="E115" s="397"/>
      <c r="F115" s="402"/>
      <c r="G115" s="403"/>
      <c r="H115" s="402"/>
      <c r="I115" s="403"/>
      <c r="J115" s="136">
        <f t="shared" si="5"/>
        <v>0</v>
      </c>
      <c r="K115" s="132" t="e">
        <f>IF((J115+'Period 1'!#REF!+#REF!+#REF!+#REF!+#REF!)&lt;=24999,J115, 25000-'Period 1'!#REF!-#REF!-#REF!-#REF!-#REF!)</f>
        <v>#REF!</v>
      </c>
      <c r="L115" s="83" t="e">
        <f t="shared" si="8"/>
        <v>#REF!</v>
      </c>
      <c r="M115" s="32" t="e">
        <f t="shared" si="6"/>
        <v>#REF!</v>
      </c>
      <c r="N115" s="399" t="e">
        <f t="shared" si="7"/>
        <v>#REF!</v>
      </c>
      <c r="O115" s="400"/>
    </row>
    <row r="116" spans="1:16" ht="13.5" hidden="1" customHeight="1" x14ac:dyDescent="0.2">
      <c r="A116" s="362"/>
      <c r="B116" s="390"/>
      <c r="C116" s="395" t="e">
        <f>IF(#REF!&lt;&gt;"",#REF!,"")</f>
        <v>#REF!</v>
      </c>
      <c r="D116" s="396"/>
      <c r="E116" s="397"/>
      <c r="F116" s="402"/>
      <c r="G116" s="403"/>
      <c r="H116" s="402"/>
      <c r="I116" s="403"/>
      <c r="J116" s="136">
        <f t="shared" si="5"/>
        <v>0</v>
      </c>
      <c r="K116" s="132" t="e">
        <f>IF((J116+'Period 1'!#REF!+#REF!+#REF!+#REF!+#REF!)&lt;=24999,J116, 25000-'Period 1'!#REF!-#REF!-#REF!-#REF!-#REF!)</f>
        <v>#REF!</v>
      </c>
      <c r="L116" s="83" t="e">
        <f t="shared" si="8"/>
        <v>#REF!</v>
      </c>
      <c r="M116" s="32" t="e">
        <f t="shared" si="6"/>
        <v>#REF!</v>
      </c>
      <c r="N116" s="399" t="e">
        <f t="shared" si="7"/>
        <v>#REF!</v>
      </c>
      <c r="O116" s="400"/>
    </row>
    <row r="117" spans="1:16" ht="13.5" hidden="1" customHeight="1" thickBot="1" x14ac:dyDescent="0.25">
      <c r="A117" s="362"/>
      <c r="B117" s="390"/>
      <c r="C117" s="395" t="e">
        <f>IF(#REF!&lt;&gt;"",#REF!,"")</f>
        <v>#REF!</v>
      </c>
      <c r="D117" s="396"/>
      <c r="E117" s="397"/>
      <c r="F117" s="402"/>
      <c r="G117" s="403"/>
      <c r="H117" s="402"/>
      <c r="I117" s="403"/>
      <c r="J117" s="136">
        <f t="shared" si="5"/>
        <v>0</v>
      </c>
      <c r="K117" s="132" t="e">
        <f>IF((J117+'Period 1'!#REF!+#REF!+#REF!+#REF!+#REF!)&lt;=24999,J117, 25000-'Period 1'!#REF!-#REF!-#REF!-#REF!-#REF!)</f>
        <v>#REF!</v>
      </c>
      <c r="L117" s="83" t="e">
        <f t="shared" si="8"/>
        <v>#REF!</v>
      </c>
      <c r="M117" s="32" t="e">
        <f t="shared" si="6"/>
        <v>#REF!</v>
      </c>
      <c r="N117" s="407" t="e">
        <f t="shared" si="7"/>
        <v>#REF!</v>
      </c>
      <c r="O117" s="408"/>
    </row>
    <row r="118" spans="1:16" ht="13.5" customHeight="1" thickBot="1" x14ac:dyDescent="0.25">
      <c r="A118" s="363"/>
      <c r="B118" s="391"/>
      <c r="C118" s="421" t="s">
        <v>21</v>
      </c>
      <c r="D118" s="421"/>
      <c r="E118" s="422"/>
      <c r="F118" s="423">
        <f>SUM(F98:G117)</f>
        <v>0</v>
      </c>
      <c r="G118" s="423"/>
      <c r="H118" s="423">
        <f>SUM(H98:I117)</f>
        <v>0</v>
      </c>
      <c r="I118" s="423"/>
      <c r="J118" s="137">
        <f>SUM(J98:J117)</f>
        <v>0</v>
      </c>
      <c r="K118" s="133" t="e">
        <f>SUM(K98:K117)</f>
        <v>#REF!</v>
      </c>
      <c r="L118" s="33" t="e">
        <f>SUM(L98:L117)</f>
        <v>#REF!</v>
      </c>
      <c r="M118" s="84" t="e">
        <f>SUM(M98:M117)</f>
        <v>#REF!</v>
      </c>
      <c r="N118" s="158"/>
      <c r="O118" s="159"/>
    </row>
    <row r="119" spans="1:16" ht="18" hidden="1" customHeight="1" thickBot="1" x14ac:dyDescent="0.25">
      <c r="A119" s="424"/>
      <c r="B119" s="424"/>
      <c r="C119" s="424"/>
      <c r="D119" s="424"/>
      <c r="E119" s="424"/>
      <c r="F119" s="424"/>
      <c r="G119" s="424"/>
      <c r="H119" s="424"/>
      <c r="I119" s="424"/>
      <c r="J119" s="424"/>
      <c r="K119" s="424"/>
      <c r="L119" s="424"/>
      <c r="M119" s="424"/>
      <c r="N119" s="382"/>
      <c r="O119" s="382"/>
      <c r="P119" s="77"/>
    </row>
    <row r="120" spans="1:16" ht="18" hidden="1" customHeight="1" x14ac:dyDescent="0.2">
      <c r="A120" s="211"/>
      <c r="B120" s="211"/>
      <c r="C120" s="211"/>
      <c r="D120" s="211"/>
      <c r="E120" s="211"/>
      <c r="F120" s="212" t="s">
        <v>229</v>
      </c>
      <c r="G120" s="211" t="e">
        <f>IF(MONTH(L5)&lt;9,YEAR(L5),YEAR(L5)+1)</f>
        <v>#REF!</v>
      </c>
      <c r="H120" s="211"/>
      <c r="I120" s="212" t="s">
        <v>230</v>
      </c>
      <c r="J120" s="212" t="s">
        <v>227</v>
      </c>
      <c r="K120" s="212" t="s">
        <v>228</v>
      </c>
      <c r="L120" s="211"/>
      <c r="M120" s="211"/>
      <c r="N120" s="211"/>
      <c r="O120" s="211"/>
      <c r="P120" s="77"/>
    </row>
    <row r="121" spans="1:16" ht="18" hidden="1" customHeight="1" x14ac:dyDescent="0.2">
      <c r="A121" s="211"/>
      <c r="B121" s="211"/>
      <c r="C121" s="211"/>
      <c r="D121" s="211"/>
      <c r="E121" s="211"/>
      <c r="F121" s="211"/>
      <c r="G121" s="211"/>
      <c r="H121" s="211"/>
      <c r="I121" s="211">
        <v>2018</v>
      </c>
      <c r="J121" s="211">
        <v>0.47</v>
      </c>
      <c r="K121" s="209">
        <f>DATE(I121,8,31)</f>
        <v>43343</v>
      </c>
      <c r="L121" s="211"/>
      <c r="M121" s="211"/>
      <c r="N121" s="211"/>
      <c r="O121" s="211"/>
      <c r="P121" s="77"/>
    </row>
    <row r="122" spans="1:16" ht="18" hidden="1" customHeight="1" x14ac:dyDescent="0.2">
      <c r="A122" s="211"/>
      <c r="B122" s="211"/>
      <c r="C122" s="211"/>
      <c r="D122" s="211"/>
      <c r="E122" s="211"/>
      <c r="F122" s="211"/>
      <c r="G122" s="211"/>
      <c r="H122" s="211"/>
      <c r="I122" s="211">
        <v>2019</v>
      </c>
      <c r="J122" s="211">
        <v>0.49</v>
      </c>
      <c r="K122" s="209">
        <f t="shared" ref="K122:K135" si="9">DATE(I122,8,31)</f>
        <v>43708</v>
      </c>
      <c r="L122" s="211"/>
      <c r="M122" s="211"/>
      <c r="N122" s="211"/>
      <c r="O122" s="211"/>
      <c r="P122" s="77"/>
    </row>
    <row r="123" spans="1:16" ht="18" hidden="1" customHeight="1" x14ac:dyDescent="0.2">
      <c r="A123" s="211"/>
      <c r="B123" s="211"/>
      <c r="C123" s="211"/>
      <c r="D123" s="211"/>
      <c r="E123" s="211"/>
      <c r="F123" s="211"/>
      <c r="G123" s="211"/>
      <c r="H123" s="211"/>
      <c r="I123" s="211">
        <v>2020</v>
      </c>
      <c r="J123" s="211">
        <v>0.495</v>
      </c>
      <c r="K123" s="209">
        <f t="shared" si="9"/>
        <v>44074</v>
      </c>
      <c r="L123" s="211"/>
      <c r="M123" s="211"/>
      <c r="N123" s="211"/>
      <c r="O123" s="211"/>
      <c r="P123" s="77"/>
    </row>
    <row r="124" spans="1:16" ht="18" hidden="1" customHeight="1" x14ac:dyDescent="0.2">
      <c r="A124" s="211"/>
      <c r="B124" s="211"/>
      <c r="C124" s="211"/>
      <c r="D124" s="211"/>
      <c r="E124" s="211"/>
      <c r="F124" s="211"/>
      <c r="G124" s="211"/>
      <c r="H124" s="211"/>
      <c r="I124" s="211">
        <v>2021</v>
      </c>
      <c r="J124" s="211">
        <v>0.5</v>
      </c>
      <c r="K124" s="209">
        <f t="shared" si="9"/>
        <v>44439</v>
      </c>
      <c r="L124" s="211"/>
      <c r="M124" s="211"/>
      <c r="N124" s="211"/>
      <c r="O124" s="211"/>
      <c r="P124" s="77"/>
    </row>
    <row r="125" spans="1:16" ht="18" hidden="1" customHeight="1" x14ac:dyDescent="0.2">
      <c r="A125" s="211"/>
      <c r="B125" s="211"/>
      <c r="C125" s="211"/>
      <c r="D125" s="211"/>
      <c r="E125" s="211"/>
      <c r="F125" s="211"/>
      <c r="G125" s="211"/>
      <c r="H125" s="211"/>
      <c r="I125" s="211">
        <v>2022</v>
      </c>
      <c r="J125" s="211">
        <v>0.5</v>
      </c>
      <c r="K125" s="209">
        <f t="shared" si="9"/>
        <v>44804</v>
      </c>
      <c r="L125" s="211"/>
      <c r="M125" s="211"/>
      <c r="N125" s="211"/>
      <c r="O125" s="211"/>
      <c r="P125" s="77"/>
    </row>
    <row r="126" spans="1:16" ht="18" hidden="1" customHeight="1" x14ac:dyDescent="0.2">
      <c r="A126" s="211"/>
      <c r="B126" s="211"/>
      <c r="C126" s="211"/>
      <c r="D126" s="211"/>
      <c r="E126" s="211"/>
      <c r="F126" s="211"/>
      <c r="G126" s="211"/>
      <c r="H126" s="211"/>
      <c r="I126" s="211">
        <v>2023</v>
      </c>
      <c r="J126" s="211">
        <v>0.5</v>
      </c>
      <c r="K126" s="209">
        <f t="shared" si="9"/>
        <v>45169</v>
      </c>
      <c r="L126" s="211"/>
      <c r="M126" s="211"/>
      <c r="N126" s="211"/>
      <c r="O126" s="211"/>
      <c r="P126" s="77"/>
    </row>
    <row r="127" spans="1:16" ht="18" hidden="1" customHeight="1" x14ac:dyDescent="0.2">
      <c r="A127" s="211"/>
      <c r="B127" s="211"/>
      <c r="C127" s="211"/>
      <c r="D127" s="211"/>
      <c r="E127" s="211"/>
      <c r="F127" s="211"/>
      <c r="G127" s="211"/>
      <c r="H127" s="211"/>
      <c r="I127" s="211">
        <v>2024</v>
      </c>
      <c r="J127" s="211">
        <v>0.5</v>
      </c>
      <c r="K127" s="209">
        <f t="shared" si="9"/>
        <v>45535</v>
      </c>
      <c r="L127" s="211"/>
      <c r="M127" s="211"/>
      <c r="N127" s="211"/>
      <c r="O127" s="211"/>
      <c r="P127" s="77"/>
    </row>
    <row r="128" spans="1:16" ht="18" hidden="1" customHeight="1" x14ac:dyDescent="0.2">
      <c r="A128" s="211"/>
      <c r="B128" s="211"/>
      <c r="C128" s="211"/>
      <c r="D128" s="211"/>
      <c r="E128" s="211"/>
      <c r="F128" s="211"/>
      <c r="G128" s="211"/>
      <c r="H128" s="211"/>
      <c r="I128" s="211">
        <v>2025</v>
      </c>
      <c r="J128" s="211">
        <v>0.5</v>
      </c>
      <c r="K128" s="209">
        <f t="shared" si="9"/>
        <v>45900</v>
      </c>
      <c r="L128" s="211"/>
      <c r="M128" s="211"/>
      <c r="N128" s="211"/>
      <c r="O128" s="211"/>
      <c r="P128" s="77"/>
    </row>
    <row r="129" spans="1:16" ht="18" hidden="1" customHeight="1" x14ac:dyDescent="0.2">
      <c r="A129" s="211"/>
      <c r="B129" s="211"/>
      <c r="C129" s="211"/>
      <c r="D129" s="211"/>
      <c r="E129" s="211"/>
      <c r="F129" s="211"/>
      <c r="G129" s="211"/>
      <c r="H129" s="211"/>
      <c r="I129" s="211">
        <v>2026</v>
      </c>
      <c r="J129" s="211">
        <v>0.5</v>
      </c>
      <c r="K129" s="209">
        <f t="shared" si="9"/>
        <v>46265</v>
      </c>
      <c r="L129" s="211"/>
      <c r="M129" s="211"/>
      <c r="N129" s="211"/>
      <c r="O129" s="211"/>
      <c r="P129" s="77"/>
    </row>
    <row r="130" spans="1:16" ht="18" hidden="1" customHeight="1" x14ac:dyDescent="0.2">
      <c r="A130" s="211"/>
      <c r="B130" s="211"/>
      <c r="C130" s="211"/>
      <c r="D130" s="211"/>
      <c r="E130" s="211"/>
      <c r="F130" s="211"/>
      <c r="G130" s="211"/>
      <c r="H130" s="211"/>
      <c r="I130" s="211">
        <v>2027</v>
      </c>
      <c r="J130" s="211">
        <v>0.5</v>
      </c>
      <c r="K130" s="209">
        <f t="shared" si="9"/>
        <v>46630</v>
      </c>
      <c r="L130" s="211"/>
      <c r="M130" s="211"/>
      <c r="N130" s="211"/>
      <c r="O130" s="211"/>
      <c r="P130" s="77"/>
    </row>
    <row r="131" spans="1:16" ht="18" hidden="1" customHeight="1" x14ac:dyDescent="0.2">
      <c r="A131" s="211"/>
      <c r="B131" s="211"/>
      <c r="C131" s="211"/>
      <c r="D131" s="211"/>
      <c r="E131" s="211"/>
      <c r="F131" s="211"/>
      <c r="G131" s="211"/>
      <c r="H131" s="211"/>
      <c r="I131" s="211">
        <v>2028</v>
      </c>
      <c r="J131" s="211">
        <v>0.5</v>
      </c>
      <c r="K131" s="209">
        <f t="shared" si="9"/>
        <v>46996</v>
      </c>
      <c r="L131" s="211"/>
      <c r="M131" s="211"/>
      <c r="N131" s="211"/>
      <c r="O131" s="211"/>
      <c r="P131" s="77"/>
    </row>
    <row r="132" spans="1:16" ht="18" hidden="1" customHeight="1" x14ac:dyDescent="0.2">
      <c r="A132" s="211"/>
      <c r="B132" s="211"/>
      <c r="C132" s="211"/>
      <c r="D132" s="211"/>
      <c r="E132" s="211"/>
      <c r="F132" s="211"/>
      <c r="G132" s="211"/>
      <c r="H132" s="211"/>
      <c r="I132" s="211">
        <v>2029</v>
      </c>
      <c r="J132" s="211">
        <v>0.5</v>
      </c>
      <c r="K132" s="209">
        <f t="shared" si="9"/>
        <v>47361</v>
      </c>
      <c r="L132" s="211"/>
      <c r="M132" s="211"/>
      <c r="N132" s="211"/>
      <c r="O132" s="211"/>
      <c r="P132" s="77"/>
    </row>
    <row r="133" spans="1:16" ht="18" hidden="1" customHeight="1" x14ac:dyDescent="0.2">
      <c r="A133" s="211"/>
      <c r="B133" s="211"/>
      <c r="C133" s="211"/>
      <c r="D133" s="211"/>
      <c r="E133" s="211"/>
      <c r="F133" s="211"/>
      <c r="G133" s="211"/>
      <c r="H133" s="211"/>
      <c r="I133" s="211">
        <v>2030</v>
      </c>
      <c r="J133" s="211">
        <v>0.5</v>
      </c>
      <c r="K133" s="209">
        <f t="shared" si="9"/>
        <v>47726</v>
      </c>
      <c r="L133" s="211"/>
      <c r="M133" s="211"/>
      <c r="N133" s="211"/>
      <c r="O133" s="211"/>
      <c r="P133" s="77"/>
    </row>
    <row r="134" spans="1:16" ht="18" hidden="1" customHeight="1" x14ac:dyDescent="0.2">
      <c r="A134" s="211"/>
      <c r="B134" s="211"/>
      <c r="C134" s="211"/>
      <c r="D134" s="211"/>
      <c r="E134" s="211"/>
      <c r="F134" s="211"/>
      <c r="G134" s="211"/>
      <c r="H134" s="211"/>
      <c r="I134" s="211">
        <v>2031</v>
      </c>
      <c r="J134" s="211">
        <v>0.5</v>
      </c>
      <c r="K134" s="209">
        <f t="shared" si="9"/>
        <v>48091</v>
      </c>
      <c r="L134" s="211"/>
      <c r="M134" s="211"/>
      <c r="N134" s="211"/>
      <c r="O134" s="211"/>
      <c r="P134" s="77"/>
    </row>
    <row r="135" spans="1:16" ht="18" hidden="1" customHeight="1" x14ac:dyDescent="0.2">
      <c r="A135" s="211"/>
      <c r="B135" s="211"/>
      <c r="C135" s="211"/>
      <c r="D135" s="211"/>
      <c r="E135" s="211"/>
      <c r="F135" s="211"/>
      <c r="G135" s="211"/>
      <c r="H135" s="211"/>
      <c r="I135" s="211">
        <v>2032</v>
      </c>
      <c r="J135" s="211">
        <v>0.5</v>
      </c>
      <c r="K135" s="209">
        <f t="shared" si="9"/>
        <v>48457</v>
      </c>
      <c r="L135" s="211"/>
      <c r="M135" s="211"/>
      <c r="N135" s="211"/>
      <c r="O135" s="211"/>
      <c r="P135" s="77"/>
    </row>
    <row r="136" spans="1:16" ht="18" customHeight="1" thickBot="1" x14ac:dyDescent="0.25">
      <c r="A136" s="211"/>
      <c r="B136" s="211"/>
      <c r="C136" s="211"/>
      <c r="D136" s="211"/>
      <c r="E136" s="211"/>
      <c r="F136" s="211"/>
      <c r="G136" s="211"/>
      <c r="H136" s="211"/>
      <c r="I136" s="211"/>
      <c r="J136" s="211"/>
      <c r="K136" s="211"/>
      <c r="L136" s="211"/>
      <c r="M136" s="211"/>
      <c r="N136" s="211"/>
      <c r="O136" s="211"/>
      <c r="P136" s="77"/>
    </row>
    <row r="137" spans="1:16" ht="13.5" customHeight="1" x14ac:dyDescent="0.2">
      <c r="A137" s="361" t="s">
        <v>63</v>
      </c>
      <c r="B137" s="425" t="s">
        <v>78</v>
      </c>
      <c r="C137" s="426"/>
      <c r="D137" s="426"/>
      <c r="E137" s="426"/>
      <c r="F137" s="427"/>
      <c r="G137" s="437" t="s">
        <v>43</v>
      </c>
      <c r="H137" s="438"/>
      <c r="I137" s="438"/>
      <c r="J137" s="438"/>
      <c r="K137" s="439"/>
      <c r="L137" s="428" t="s">
        <v>79</v>
      </c>
      <c r="M137" s="429"/>
      <c r="N137" s="430"/>
      <c r="O137" s="23" t="e">
        <f>O148-H118</f>
        <v>#REF!</v>
      </c>
      <c r="P137" s="79"/>
    </row>
    <row r="138" spans="1:16" ht="13.5" customHeight="1" x14ac:dyDescent="0.2">
      <c r="A138" s="362"/>
      <c r="B138" s="431" t="s">
        <v>37</v>
      </c>
      <c r="C138" s="432"/>
      <c r="D138" s="432"/>
      <c r="E138" s="432"/>
      <c r="F138" s="433"/>
      <c r="G138" s="440"/>
      <c r="H138" s="441"/>
      <c r="I138" s="441"/>
      <c r="J138" s="441"/>
      <c r="K138" s="442"/>
      <c r="L138" s="434" t="s">
        <v>19</v>
      </c>
      <c r="M138" s="435"/>
      <c r="N138" s="436"/>
      <c r="O138" s="24">
        <f>H118</f>
        <v>0</v>
      </c>
      <c r="P138" s="79"/>
    </row>
    <row r="139" spans="1:16" ht="13.5" customHeight="1" x14ac:dyDescent="0.2">
      <c r="A139" s="362"/>
      <c r="B139" s="210"/>
      <c r="C139" s="208" t="s">
        <v>226</v>
      </c>
      <c r="D139" s="208"/>
      <c r="E139" s="208"/>
      <c r="F139" s="205">
        <v>0.47</v>
      </c>
      <c r="G139" s="440"/>
      <c r="H139" s="441"/>
      <c r="I139" s="441"/>
      <c r="J139" s="441"/>
      <c r="K139" s="442"/>
      <c r="L139" s="418" t="s">
        <v>40</v>
      </c>
      <c r="M139" s="419"/>
      <c r="N139" s="420"/>
      <c r="O139" s="25" t="e">
        <f>O148-O83-O79-O88-O96+K118</f>
        <v>#REF!</v>
      </c>
      <c r="P139" s="79"/>
    </row>
    <row r="140" spans="1:16" ht="13.5" customHeight="1" x14ac:dyDescent="0.3">
      <c r="A140" s="362"/>
      <c r="B140" s="210"/>
      <c r="C140" s="208" t="s">
        <v>221</v>
      </c>
      <c r="D140" s="208"/>
      <c r="E140" s="208"/>
      <c r="F140" s="205">
        <v>0.49</v>
      </c>
      <c r="G140" s="440"/>
      <c r="H140" s="441"/>
      <c r="I140" s="441"/>
      <c r="J140" s="441"/>
      <c r="K140" s="442"/>
      <c r="L140" s="199" t="s">
        <v>217</v>
      </c>
      <c r="M140" s="202" t="e">
        <f>VLOOKUP($G$120,$I$121:$J$135,2,FALSE)</f>
        <v>#REF!</v>
      </c>
      <c r="N140" s="203" t="s">
        <v>224</v>
      </c>
      <c r="O140" s="25" t="e">
        <f>IF($L$7-VLOOKUP($G$120,$I$121:$K$135,3,FALSE)&lt;0,$O$139,ROUND((1-($L$7-VLOOKUP($G$120,$I$121:$K$135,3,FALSE))/($L$7+1-$L$5))*$O$139,0))</f>
        <v>#REF!</v>
      </c>
      <c r="P140" s="80"/>
    </row>
    <row r="141" spans="1:16" ht="13.5" customHeight="1" x14ac:dyDescent="0.3">
      <c r="A141" s="362"/>
      <c r="B141" s="210"/>
      <c r="C141" s="208" t="s">
        <v>222</v>
      </c>
      <c r="D141" s="208"/>
      <c r="E141" s="208"/>
      <c r="F141" s="206">
        <v>0.495</v>
      </c>
      <c r="G141" s="440"/>
      <c r="H141" s="441"/>
      <c r="I141" s="441"/>
      <c r="J141" s="441"/>
      <c r="K141" s="442"/>
      <c r="L141" s="200" t="s">
        <v>218</v>
      </c>
      <c r="M141" s="202" t="e">
        <f>VLOOKUP($G$120+1,$I$121:$J$135,2,FALSE)</f>
        <v>#REF!</v>
      </c>
      <c r="N141" s="203" t="s">
        <v>225</v>
      </c>
      <c r="O141" s="25" t="e">
        <f>O139-O140</f>
        <v>#REF!</v>
      </c>
      <c r="P141" s="80"/>
    </row>
    <row r="142" spans="1:16" ht="13.5" customHeight="1" x14ac:dyDescent="0.3">
      <c r="A142" s="362"/>
      <c r="B142" s="207"/>
      <c r="C142" s="208" t="s">
        <v>223</v>
      </c>
      <c r="D142" s="208"/>
      <c r="E142" s="208"/>
      <c r="F142" s="205">
        <v>0.5</v>
      </c>
      <c r="G142" s="440"/>
      <c r="H142" s="441"/>
      <c r="I142" s="441"/>
      <c r="J142" s="441"/>
      <c r="K142" s="442"/>
      <c r="L142" s="446" t="s">
        <v>219</v>
      </c>
      <c r="M142" s="447"/>
      <c r="N142" s="448"/>
      <c r="O142" s="201" t="e">
        <f>ROUND(M140*O140,0)</f>
        <v>#REF!</v>
      </c>
      <c r="P142" s="80"/>
    </row>
    <row r="143" spans="1:16" ht="13.5" customHeight="1" x14ac:dyDescent="0.3">
      <c r="A143" s="362"/>
      <c r="B143" s="207"/>
      <c r="C143" s="208" t="s">
        <v>231</v>
      </c>
      <c r="D143" s="208"/>
      <c r="E143" s="208"/>
      <c r="F143" s="205">
        <v>0.5</v>
      </c>
      <c r="G143" s="443"/>
      <c r="H143" s="444"/>
      <c r="I143" s="444"/>
      <c r="J143" s="444"/>
      <c r="K143" s="445"/>
      <c r="L143" s="449" t="s">
        <v>220</v>
      </c>
      <c r="M143" s="450"/>
      <c r="N143" s="451"/>
      <c r="O143" s="204" t="e">
        <f>ROUND(M141*O141,0)</f>
        <v>#REF!</v>
      </c>
      <c r="P143" s="80"/>
    </row>
    <row r="144" spans="1:16" ht="13.5" customHeight="1" x14ac:dyDescent="0.2">
      <c r="A144" s="362"/>
      <c r="B144" s="207"/>
      <c r="C144" s="213" t="s">
        <v>232</v>
      </c>
      <c r="D144" s="208"/>
      <c r="E144" s="208"/>
      <c r="F144" s="205">
        <v>0.36</v>
      </c>
      <c r="G144" s="452" t="s">
        <v>175</v>
      </c>
      <c r="H144" s="453"/>
      <c r="I144" s="453"/>
      <c r="J144" s="453"/>
      <c r="K144" s="453"/>
      <c r="L144" s="453"/>
      <c r="M144" s="453"/>
      <c r="N144" s="453"/>
      <c r="O144" s="454"/>
      <c r="P144" s="65"/>
    </row>
    <row r="145" spans="1:17" ht="13.5" customHeight="1" x14ac:dyDescent="0.2">
      <c r="A145" s="362"/>
      <c r="B145" s="431" t="s">
        <v>36</v>
      </c>
      <c r="C145" s="432"/>
      <c r="D145" s="432"/>
      <c r="E145" s="432"/>
      <c r="F145" s="433"/>
      <c r="G145" s="455"/>
      <c r="H145" s="456"/>
      <c r="I145" s="456"/>
      <c r="J145" s="456"/>
      <c r="K145" s="456"/>
      <c r="L145" s="456"/>
      <c r="M145" s="456"/>
      <c r="N145" s="456"/>
      <c r="O145" s="457"/>
      <c r="P145" s="65"/>
    </row>
    <row r="146" spans="1:17" ht="14.25" customHeight="1" thickBot="1" x14ac:dyDescent="0.25">
      <c r="A146" s="363"/>
      <c r="B146" s="207"/>
      <c r="C146" s="208" t="s">
        <v>233</v>
      </c>
      <c r="D146" s="208"/>
      <c r="E146" s="208"/>
      <c r="F146" s="205">
        <v>0.26</v>
      </c>
      <c r="G146" s="458"/>
      <c r="H146" s="459"/>
      <c r="I146" s="459"/>
      <c r="J146" s="459"/>
      <c r="K146" s="459"/>
      <c r="L146" s="459"/>
      <c r="M146" s="459"/>
      <c r="N146" s="459"/>
      <c r="O146" s="460"/>
      <c r="P146" s="65"/>
    </row>
    <row r="147" spans="1:17" ht="18" customHeight="1" thickBot="1" x14ac:dyDescent="0.25">
      <c r="A147" s="295"/>
      <c r="B147" s="295"/>
      <c r="C147" s="295"/>
      <c r="D147" s="295"/>
      <c r="E147" s="295"/>
      <c r="F147" s="295"/>
      <c r="G147" s="295"/>
      <c r="H147" s="295"/>
      <c r="I147" s="295"/>
      <c r="J147" s="295"/>
      <c r="K147" s="295"/>
      <c r="L147" s="295"/>
      <c r="M147" s="295"/>
      <c r="N147" s="295"/>
      <c r="O147" s="295"/>
      <c r="P147" s="77"/>
    </row>
    <row r="148" spans="1:17" ht="17.100000000000001" customHeight="1" x14ac:dyDescent="0.25">
      <c r="A148" s="296" t="s">
        <v>45</v>
      </c>
      <c r="B148" s="297"/>
      <c r="C148" s="302" t="s">
        <v>23</v>
      </c>
      <c r="D148" s="303"/>
      <c r="E148" s="303"/>
      <c r="F148" s="306"/>
      <c r="G148" s="307"/>
      <c r="H148" s="29"/>
      <c r="I148" s="310" t="s">
        <v>62</v>
      </c>
      <c r="J148" s="313" t="str">
        <f>K3</f>
        <v>Period 6</v>
      </c>
      <c r="K148" s="412" t="s">
        <v>61</v>
      </c>
      <c r="L148" s="413"/>
      <c r="M148" s="413"/>
      <c r="N148" s="414"/>
      <c r="O148" s="26" t="e">
        <f>O35+O79+O64+O83+O67+O96+O88</f>
        <v>#REF!</v>
      </c>
      <c r="P148" s="81"/>
    </row>
    <row r="149" spans="1:17" ht="17.100000000000001" customHeight="1" x14ac:dyDescent="0.25">
      <c r="A149" s="298"/>
      <c r="B149" s="299"/>
      <c r="C149" s="304"/>
      <c r="D149" s="305"/>
      <c r="E149" s="305"/>
      <c r="F149" s="308"/>
      <c r="G149" s="309"/>
      <c r="H149" s="30"/>
      <c r="I149" s="311"/>
      <c r="J149" s="314"/>
      <c r="K149" s="415" t="s">
        <v>186</v>
      </c>
      <c r="L149" s="416"/>
      <c r="M149" s="416"/>
      <c r="N149" s="417"/>
      <c r="O149" s="27" t="e">
        <f>O142+O143</f>
        <v>#REF!</v>
      </c>
      <c r="P149" s="81"/>
      <c r="Q149" s="55"/>
    </row>
    <row r="150" spans="1:17" ht="17.100000000000001" customHeight="1" thickBot="1" x14ac:dyDescent="0.3">
      <c r="A150" s="300"/>
      <c r="B150" s="301"/>
      <c r="C150" s="316" t="s">
        <v>22</v>
      </c>
      <c r="D150" s="317"/>
      <c r="E150" s="318"/>
      <c r="F150" s="319" t="e">
        <f>IF(O151&lt;&gt;0,F148/O151,"-")</f>
        <v>#REF!</v>
      </c>
      <c r="G150" s="320"/>
      <c r="H150" s="29"/>
      <c r="I150" s="311"/>
      <c r="J150" s="314"/>
      <c r="K150" s="321" t="s">
        <v>46</v>
      </c>
      <c r="L150" s="322"/>
      <c r="M150" s="322"/>
      <c r="N150" s="323"/>
      <c r="O150" s="27" t="e">
        <f>O148+O149</f>
        <v>#REF!</v>
      </c>
      <c r="P150" s="81"/>
    </row>
    <row r="151" spans="1:17" ht="17.100000000000001" customHeight="1" thickBot="1" x14ac:dyDescent="0.3">
      <c r="A151" s="324"/>
      <c r="B151" s="324"/>
      <c r="C151" s="324"/>
      <c r="D151" s="324"/>
      <c r="E151" s="324"/>
      <c r="F151" s="324"/>
      <c r="G151" s="324"/>
      <c r="H151" s="325"/>
      <c r="I151" s="312"/>
      <c r="J151" s="315"/>
      <c r="K151" s="326" t="s">
        <v>58</v>
      </c>
      <c r="L151" s="327"/>
      <c r="M151" s="327"/>
      <c r="N151" s="328"/>
      <c r="O151" s="28" t="e">
        <f>O150+F148</f>
        <v>#REF!</v>
      </c>
      <c r="P151" s="81"/>
    </row>
    <row r="159" spans="1:17" x14ac:dyDescent="0.2">
      <c r="Q159" s="55"/>
    </row>
  </sheetData>
  <sheetProtection insertRows="0"/>
  <mergeCells count="220">
    <mergeCell ref="B35:J35"/>
    <mergeCell ref="K35:L35"/>
    <mergeCell ref="K148:N148"/>
    <mergeCell ref="K149:N149"/>
    <mergeCell ref="L139:N139"/>
    <mergeCell ref="C118:E118"/>
    <mergeCell ref="F118:G118"/>
    <mergeCell ref="H118:I118"/>
    <mergeCell ref="A119:O119"/>
    <mergeCell ref="B137:F137"/>
    <mergeCell ref="L137:N137"/>
    <mergeCell ref="B138:F138"/>
    <mergeCell ref="L138:N138"/>
    <mergeCell ref="A137:A146"/>
    <mergeCell ref="G137:K143"/>
    <mergeCell ref="L142:N142"/>
    <mergeCell ref="L143:N143"/>
    <mergeCell ref="G144:O146"/>
    <mergeCell ref="B145:F145"/>
    <mergeCell ref="C116:E116"/>
    <mergeCell ref="F116:G116"/>
    <mergeCell ref="H116:I116"/>
    <mergeCell ref="N116:O116"/>
    <mergeCell ref="C117:E117"/>
    <mergeCell ref="F117:G117"/>
    <mergeCell ref="H117:I117"/>
    <mergeCell ref="N117:O117"/>
    <mergeCell ref="C114:E114"/>
    <mergeCell ref="F114:G114"/>
    <mergeCell ref="H114:I114"/>
    <mergeCell ref="N114:O114"/>
    <mergeCell ref="C115:E115"/>
    <mergeCell ref="F115:G115"/>
    <mergeCell ref="H115:I115"/>
    <mergeCell ref="N115:O115"/>
    <mergeCell ref="C112:E112"/>
    <mergeCell ref="F112:G112"/>
    <mergeCell ref="H112:I112"/>
    <mergeCell ref="N112:O112"/>
    <mergeCell ref="C113:E113"/>
    <mergeCell ref="F113:G113"/>
    <mergeCell ref="H113:I113"/>
    <mergeCell ref="N113:O113"/>
    <mergeCell ref="C110:E110"/>
    <mergeCell ref="F110:G110"/>
    <mergeCell ref="H110:I110"/>
    <mergeCell ref="N110:O110"/>
    <mergeCell ref="C111:E111"/>
    <mergeCell ref="F111:G111"/>
    <mergeCell ref="H111:I111"/>
    <mergeCell ref="N111:O111"/>
    <mergeCell ref="C108:E108"/>
    <mergeCell ref="F108:G108"/>
    <mergeCell ref="H108:I108"/>
    <mergeCell ref="N108:O108"/>
    <mergeCell ref="C109:E109"/>
    <mergeCell ref="F109:G109"/>
    <mergeCell ref="H109:I109"/>
    <mergeCell ref="N109:O109"/>
    <mergeCell ref="C106:E106"/>
    <mergeCell ref="F106:G106"/>
    <mergeCell ref="H106:I106"/>
    <mergeCell ref="N106:O106"/>
    <mergeCell ref="C107:E107"/>
    <mergeCell ref="F107:G107"/>
    <mergeCell ref="H107:I107"/>
    <mergeCell ref="N107:O107"/>
    <mergeCell ref="F104:G104"/>
    <mergeCell ref="H104:I104"/>
    <mergeCell ref="N104:O104"/>
    <mergeCell ref="C105:E105"/>
    <mergeCell ref="F105:G105"/>
    <mergeCell ref="H105:I105"/>
    <mergeCell ref="N105:O105"/>
    <mergeCell ref="C102:E102"/>
    <mergeCell ref="F102:G102"/>
    <mergeCell ref="H102:I102"/>
    <mergeCell ref="N102:O102"/>
    <mergeCell ref="C103:E103"/>
    <mergeCell ref="F103:G103"/>
    <mergeCell ref="H103:I103"/>
    <mergeCell ref="N103:O103"/>
    <mergeCell ref="B95:O95"/>
    <mergeCell ref="A96:A118"/>
    <mergeCell ref="B96:M96"/>
    <mergeCell ref="B97:B118"/>
    <mergeCell ref="F97:G97"/>
    <mergeCell ref="H97:I97"/>
    <mergeCell ref="C100:E100"/>
    <mergeCell ref="F100:G100"/>
    <mergeCell ref="H100:I100"/>
    <mergeCell ref="N100:O100"/>
    <mergeCell ref="C101:E101"/>
    <mergeCell ref="F101:G101"/>
    <mergeCell ref="H101:I101"/>
    <mergeCell ref="N101:O101"/>
    <mergeCell ref="N97:O97"/>
    <mergeCell ref="C98:E98"/>
    <mergeCell ref="F98:G98"/>
    <mergeCell ref="H98:I98"/>
    <mergeCell ref="N98:O98"/>
    <mergeCell ref="C99:E99"/>
    <mergeCell ref="F99:G99"/>
    <mergeCell ref="H99:I99"/>
    <mergeCell ref="N99:O99"/>
    <mergeCell ref="C104:E104"/>
    <mergeCell ref="B85:N85"/>
    <mergeCell ref="B86:N86"/>
    <mergeCell ref="B87:N87"/>
    <mergeCell ref="B88:M88"/>
    <mergeCell ref="B89:N89"/>
    <mergeCell ref="B90:N90"/>
    <mergeCell ref="B76:N76"/>
    <mergeCell ref="B77:N77"/>
    <mergeCell ref="A78:O78"/>
    <mergeCell ref="A79:A94"/>
    <mergeCell ref="B79:M79"/>
    <mergeCell ref="B80:N80"/>
    <mergeCell ref="B81:N81"/>
    <mergeCell ref="B82:N82"/>
    <mergeCell ref="B83:M83"/>
    <mergeCell ref="B84:N84"/>
    <mergeCell ref="B91:N91"/>
    <mergeCell ref="B92:N92"/>
    <mergeCell ref="B93:N93"/>
    <mergeCell ref="B94:N94"/>
    <mergeCell ref="B68:N68"/>
    <mergeCell ref="B69:N69"/>
    <mergeCell ref="B70:N70"/>
    <mergeCell ref="B71:N71"/>
    <mergeCell ref="B74:N74"/>
    <mergeCell ref="B75:N75"/>
    <mergeCell ref="B64:M64"/>
    <mergeCell ref="B65:N65"/>
    <mergeCell ref="B66:N66"/>
    <mergeCell ref="B67:M67"/>
    <mergeCell ref="B61:C61"/>
    <mergeCell ref="G61:H61"/>
    <mergeCell ref="B62:C62"/>
    <mergeCell ref="G62:H62"/>
    <mergeCell ref="B63:C63"/>
    <mergeCell ref="G63:H63"/>
    <mergeCell ref="B58:C58"/>
    <mergeCell ref="G58:H58"/>
    <mergeCell ref="B59:C59"/>
    <mergeCell ref="G59:H59"/>
    <mergeCell ref="B60:C60"/>
    <mergeCell ref="G60:H60"/>
    <mergeCell ref="B55:C55"/>
    <mergeCell ref="G55:H55"/>
    <mergeCell ref="B56:C56"/>
    <mergeCell ref="G56:H56"/>
    <mergeCell ref="B57:C57"/>
    <mergeCell ref="G57:H57"/>
    <mergeCell ref="B52:C52"/>
    <mergeCell ref="G52:H52"/>
    <mergeCell ref="B53:C53"/>
    <mergeCell ref="G53:H53"/>
    <mergeCell ref="B54:C54"/>
    <mergeCell ref="G54:H54"/>
    <mergeCell ref="B50:C50"/>
    <mergeCell ref="G50:H50"/>
    <mergeCell ref="B51:C51"/>
    <mergeCell ref="G51:H51"/>
    <mergeCell ref="B46:C46"/>
    <mergeCell ref="G46:H46"/>
    <mergeCell ref="B47:C47"/>
    <mergeCell ref="G47:H47"/>
    <mergeCell ref="B48:C48"/>
    <mergeCell ref="G48:H48"/>
    <mergeCell ref="A34:O34"/>
    <mergeCell ref="A35:A77"/>
    <mergeCell ref="B36:C36"/>
    <mergeCell ref="G36:H36"/>
    <mergeCell ref="B37:C37"/>
    <mergeCell ref="G37:H37"/>
    <mergeCell ref="B38:C38"/>
    <mergeCell ref="G38:H38"/>
    <mergeCell ref="B39:C39"/>
    <mergeCell ref="B43:C43"/>
    <mergeCell ref="G43:H43"/>
    <mergeCell ref="B44:C44"/>
    <mergeCell ref="G44:H44"/>
    <mergeCell ref="B45:C45"/>
    <mergeCell ref="G45:H45"/>
    <mergeCell ref="G39:H39"/>
    <mergeCell ref="B40:C40"/>
    <mergeCell ref="G40:H40"/>
    <mergeCell ref="B41:C41"/>
    <mergeCell ref="G41:H41"/>
    <mergeCell ref="B42:C42"/>
    <mergeCell ref="G42:H42"/>
    <mergeCell ref="B49:C49"/>
    <mergeCell ref="G49:H49"/>
    <mergeCell ref="A5:C6"/>
    <mergeCell ref="D5:F6"/>
    <mergeCell ref="K5:K6"/>
    <mergeCell ref="L5:L6"/>
    <mergeCell ref="A7:C9"/>
    <mergeCell ref="D7:F9"/>
    <mergeCell ref="K7:K8"/>
    <mergeCell ref="L7:L8"/>
    <mergeCell ref="A1:O1"/>
    <mergeCell ref="A2:O2"/>
    <mergeCell ref="A3:C4"/>
    <mergeCell ref="D3:F4"/>
    <mergeCell ref="K3:L4"/>
    <mergeCell ref="M3:O3"/>
    <mergeCell ref="M4:O4"/>
    <mergeCell ref="A147:O147"/>
    <mergeCell ref="A148:B150"/>
    <mergeCell ref="C148:E149"/>
    <mergeCell ref="F148:G149"/>
    <mergeCell ref="I148:I151"/>
    <mergeCell ref="J148:J151"/>
    <mergeCell ref="C150:E150"/>
    <mergeCell ref="F150:G150"/>
    <mergeCell ref="K150:N150"/>
    <mergeCell ref="A151:H151"/>
    <mergeCell ref="K151:N151"/>
  </mergeCells>
  <conditionalFormatting sqref="J37:J63">
    <cfRule type="expression" dxfId="4" priority="1">
      <formula>E37&lt;&gt;"Hourly"</formula>
    </cfRule>
  </conditionalFormatting>
  <dataValidations count="2">
    <dataValidation type="list" allowBlank="1" showInputMessage="1" showErrorMessage="1" sqref="F37:F63" xr:uid="{00000000-0002-0000-0100-000000000000}">
      <formula1>INDIRECT(E37)</formula1>
    </dataValidation>
    <dataValidation type="list" allowBlank="1" showInputMessage="1" showErrorMessage="1" sqref="E37:E63" xr:uid="{00000000-0002-0000-0100-000001000000}">
      <formula1>$B$11:$B$16</formula1>
    </dataValidation>
  </dataValidations>
  <printOptions horizontalCentered="1" verticalCentered="1"/>
  <pageMargins left="0.25" right="0.25" top="0.5" bottom="0.5" header="0" footer="0"/>
  <pageSetup scale="65" orientation="portrait" r:id="rId1"/>
  <headerFooter alignWithMargins="0">
    <oddFooter xml:space="preserve">&amp;R&amp;K000000
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59"/>
  <sheetViews>
    <sheetView topLeftCell="A82" zoomScale="85" zoomScaleNormal="85" zoomScalePageLayoutView="85" workbookViewId="0">
      <selection activeCell="C144" sqref="C144"/>
    </sheetView>
  </sheetViews>
  <sheetFormatPr defaultColWidth="8.85546875" defaultRowHeight="12.75" x14ac:dyDescent="0.2"/>
  <cols>
    <col min="1" max="1" width="4.140625" style="1" customWidth="1"/>
    <col min="2" max="2" width="4.28515625" style="1" customWidth="1"/>
    <col min="3" max="3" width="13.28515625" style="1" customWidth="1"/>
    <col min="4" max="4" width="7.42578125" style="1" customWidth="1"/>
    <col min="5" max="5" width="14.7109375" style="1" customWidth="1"/>
    <col min="6" max="6" width="10.42578125" style="1" customWidth="1"/>
    <col min="7" max="7" width="6.42578125" style="1" customWidth="1"/>
    <col min="8" max="8" width="6.28515625" style="1" customWidth="1"/>
    <col min="9" max="9" width="8.7109375" style="1" customWidth="1"/>
    <col min="10" max="10" width="11.7109375" style="2" customWidth="1"/>
    <col min="11" max="11" width="13" style="2" customWidth="1"/>
    <col min="12" max="13" width="12.85546875" style="1" customWidth="1"/>
    <col min="14" max="14" width="12.42578125" style="1" customWidth="1"/>
    <col min="15" max="15" width="17.140625" style="1" customWidth="1"/>
    <col min="16" max="16" width="12" style="1" customWidth="1"/>
    <col min="17" max="17" width="35.42578125" style="1" customWidth="1"/>
    <col min="18" max="18" width="14.28515625" style="1" customWidth="1"/>
    <col min="19" max="16384" width="8.85546875" style="1"/>
  </cols>
  <sheetData>
    <row r="1" spans="1:18" s="4" customFormat="1" ht="21.95" customHeight="1" x14ac:dyDescent="0.2">
      <c r="A1" s="342" t="s">
        <v>11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67"/>
    </row>
    <row r="2" spans="1:18" s="4" customFormat="1" ht="21.95" customHeight="1" thickBot="1" x14ac:dyDescent="0.25">
      <c r="A2" s="343" t="s">
        <v>10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68"/>
    </row>
    <row r="3" spans="1:18" s="4" customFormat="1" ht="12" customHeight="1" x14ac:dyDescent="0.25">
      <c r="A3" s="344" t="s">
        <v>176</v>
      </c>
      <c r="B3" s="345"/>
      <c r="C3" s="345"/>
      <c r="D3" s="348" t="e">
        <f>'Per6'!D3</f>
        <v>#REF!</v>
      </c>
      <c r="E3" s="348"/>
      <c r="F3" s="348"/>
      <c r="G3" s="56"/>
      <c r="H3" s="148"/>
      <c r="I3" s="148"/>
      <c r="J3" s="148"/>
      <c r="K3" s="350" t="s">
        <v>201</v>
      </c>
      <c r="L3" s="351"/>
      <c r="M3" s="354" t="s">
        <v>216</v>
      </c>
      <c r="N3" s="355"/>
      <c r="O3" s="356"/>
      <c r="P3" s="69"/>
      <c r="Q3" s="198" t="s">
        <v>240</v>
      </c>
    </row>
    <row r="4" spans="1:18" ht="12" customHeight="1" thickBot="1" x14ac:dyDescent="0.3">
      <c r="A4" s="346"/>
      <c r="B4" s="347"/>
      <c r="C4" s="347"/>
      <c r="D4" s="349"/>
      <c r="E4" s="349"/>
      <c r="F4" s="349"/>
      <c r="G4" s="152"/>
      <c r="H4" s="149"/>
      <c r="I4" s="149"/>
      <c r="J4" s="149"/>
      <c r="K4" s="352"/>
      <c r="L4" s="353"/>
      <c r="M4" s="357" t="s">
        <v>235</v>
      </c>
      <c r="N4" s="358"/>
      <c r="O4" s="359"/>
      <c r="P4" s="70"/>
    </row>
    <row r="5" spans="1:18" ht="12" customHeight="1" thickBot="1" x14ac:dyDescent="0.3">
      <c r="A5" s="329" t="s">
        <v>14</v>
      </c>
      <c r="B5" s="330"/>
      <c r="C5" s="330"/>
      <c r="D5" s="331" t="e">
        <f>'Per6'!D5</f>
        <v>#REF!</v>
      </c>
      <c r="E5" s="331"/>
      <c r="F5" s="331"/>
      <c r="G5" s="119"/>
      <c r="H5" s="120"/>
      <c r="I5" s="120"/>
      <c r="J5" s="101"/>
      <c r="K5" s="333" t="s">
        <v>12</v>
      </c>
      <c r="L5" s="334" t="e">
        <f>'Per6'!L7+1</f>
        <v>#REF!</v>
      </c>
      <c r="M5" s="34"/>
      <c r="N5" s="35" t="s">
        <v>8</v>
      </c>
      <c r="O5" s="36" t="s">
        <v>9</v>
      </c>
      <c r="P5" s="71"/>
      <c r="Q5" s="5"/>
      <c r="R5" s="5"/>
    </row>
    <row r="6" spans="1:18" ht="12" customHeight="1" thickTop="1" x14ac:dyDescent="0.25">
      <c r="A6" s="329"/>
      <c r="B6" s="330"/>
      <c r="C6" s="330"/>
      <c r="D6" s="332"/>
      <c r="E6" s="332"/>
      <c r="F6" s="332"/>
      <c r="G6" s="152"/>
      <c r="H6" s="120"/>
      <c r="I6" s="120"/>
      <c r="J6" s="101"/>
      <c r="K6" s="333"/>
      <c r="L6" s="335"/>
      <c r="M6" s="37" t="s">
        <v>2</v>
      </c>
      <c r="N6" s="196" t="e">
        <f>'Period 1'!#REF!</f>
        <v>#REF!</v>
      </c>
      <c r="O6" s="197" t="e">
        <f>'Period 1'!#REF!</f>
        <v>#REF!</v>
      </c>
      <c r="P6" s="72"/>
    </row>
    <row r="7" spans="1:18" ht="12" customHeight="1" x14ac:dyDescent="0.25">
      <c r="A7" s="329" t="s">
        <v>6</v>
      </c>
      <c r="B7" s="330"/>
      <c r="C7" s="330"/>
      <c r="D7" s="338" t="e">
        <f>'Per6'!D7</f>
        <v>#REF!</v>
      </c>
      <c r="E7" s="338"/>
      <c r="F7" s="338"/>
      <c r="G7" s="122"/>
      <c r="H7" s="121"/>
      <c r="I7" s="121"/>
      <c r="J7" s="101"/>
      <c r="K7" s="333" t="s">
        <v>13</v>
      </c>
      <c r="L7" s="341" t="e">
        <f>EDATE(L5,12)-1</f>
        <v>#REF!</v>
      </c>
      <c r="M7" s="38" t="s">
        <v>3</v>
      </c>
      <c r="N7" s="39">
        <f>'Period 1'!$L$7</f>
        <v>0</v>
      </c>
      <c r="O7" s="40">
        <f>'Period 1'!$M$7</f>
        <v>0</v>
      </c>
      <c r="P7" s="72"/>
    </row>
    <row r="8" spans="1:18" ht="12.75" customHeight="1" x14ac:dyDescent="0.25">
      <c r="A8" s="329"/>
      <c r="B8" s="330"/>
      <c r="C8" s="330"/>
      <c r="D8" s="339"/>
      <c r="E8" s="339"/>
      <c r="F8" s="339"/>
      <c r="G8" s="122"/>
      <c r="H8" s="121"/>
      <c r="I8" s="121"/>
      <c r="K8" s="333"/>
      <c r="L8" s="335"/>
      <c r="M8" s="38" t="s">
        <v>4</v>
      </c>
      <c r="N8" s="39">
        <f>'Period 1'!$K$8</f>
        <v>0</v>
      </c>
      <c r="O8" s="40">
        <f>'Period 1'!$M$8</f>
        <v>0</v>
      </c>
      <c r="P8" s="72"/>
    </row>
    <row r="9" spans="1:18" ht="12" customHeight="1" thickBot="1" x14ac:dyDescent="0.3">
      <c r="A9" s="336"/>
      <c r="B9" s="337"/>
      <c r="C9" s="337"/>
      <c r="D9" s="340"/>
      <c r="E9" s="340"/>
      <c r="F9" s="340"/>
      <c r="G9" s="123"/>
      <c r="H9" s="57"/>
      <c r="I9" s="153"/>
      <c r="J9" s="153"/>
      <c r="K9" s="153"/>
      <c r="L9" s="58"/>
      <c r="M9" s="41" t="s">
        <v>5</v>
      </c>
      <c r="N9" s="42">
        <f>'Period 1'!$L$9</f>
        <v>0</v>
      </c>
      <c r="O9" s="43">
        <f>'Period 1'!$M$9</f>
        <v>0</v>
      </c>
      <c r="P9" s="72"/>
    </row>
    <row r="10" spans="1:18" ht="13.5" hidden="1" thickBot="1" x14ac:dyDescent="0.25">
      <c r="B10" s="52"/>
      <c r="C10" s="52"/>
      <c r="D10" s="52"/>
      <c r="E10" s="89" t="s">
        <v>173</v>
      </c>
      <c r="F10" s="90" t="s">
        <v>66</v>
      </c>
      <c r="G10" s="90" t="s">
        <v>67</v>
      </c>
      <c r="H10" s="90" t="s">
        <v>68</v>
      </c>
      <c r="I10" s="90" t="s">
        <v>65</v>
      </c>
      <c r="J10" s="91" t="s">
        <v>71</v>
      </c>
      <c r="K10" s="52"/>
      <c r="L10" s="52"/>
      <c r="M10" s="52"/>
      <c r="N10" s="60" t="s">
        <v>26</v>
      </c>
      <c r="O10" s="61">
        <v>0</v>
      </c>
      <c r="P10" s="66"/>
    </row>
    <row r="11" spans="1:18" hidden="1" x14ac:dyDescent="0.2">
      <c r="B11" s="89" t="s">
        <v>173</v>
      </c>
      <c r="C11" s="91">
        <f>1/900</f>
        <v>1.1111111111111111E-3</v>
      </c>
      <c r="D11" s="191"/>
      <c r="E11" s="96" t="str">
        <f>N10</f>
        <v>Select One</v>
      </c>
      <c r="F11" s="52" t="str">
        <f>N10</f>
        <v>Select One</v>
      </c>
      <c r="G11" s="52" t="str">
        <f>N10</f>
        <v>Select One</v>
      </c>
      <c r="H11" s="52" t="str">
        <f>N10</f>
        <v>Select One</v>
      </c>
      <c r="I11" s="52" t="str">
        <f>N10</f>
        <v>Select One</v>
      </c>
      <c r="J11" s="93" t="str">
        <f>N10</f>
        <v>Select One</v>
      </c>
      <c r="K11" s="89" t="str">
        <f>B11&amp;M6</f>
        <v>FT_BE_09Emp/Family</v>
      </c>
      <c r="L11" s="99" t="e">
        <f>N6</f>
        <v>#REF!</v>
      </c>
      <c r="M11" s="100">
        <v>0.18</v>
      </c>
      <c r="N11" s="91">
        <v>100</v>
      </c>
      <c r="O11" s="52"/>
    </row>
    <row r="12" spans="1:18" hidden="1" x14ac:dyDescent="0.2">
      <c r="B12" s="92" t="s">
        <v>66</v>
      </c>
      <c r="C12" s="93">
        <f>1/1200</f>
        <v>8.3333333333333339E-4</v>
      </c>
      <c r="D12" s="191"/>
      <c r="E12" s="97" t="str">
        <f>M6</f>
        <v>Emp/Family</v>
      </c>
      <c r="F12" s="53" t="str">
        <f>M6</f>
        <v>Emp/Family</v>
      </c>
      <c r="G12" s="53" t="str">
        <f>M6</f>
        <v>Emp/Family</v>
      </c>
      <c r="H12" s="52" t="s">
        <v>69</v>
      </c>
      <c r="I12" s="52"/>
      <c r="J12" s="93" t="s">
        <v>69</v>
      </c>
      <c r="K12" s="92" t="str">
        <f>B11&amp;M7</f>
        <v>FT_BE_09Emp/Child</v>
      </c>
      <c r="L12" s="62">
        <f>N7</f>
        <v>0</v>
      </c>
      <c r="M12" s="63">
        <v>0.18</v>
      </c>
      <c r="N12" s="93">
        <v>100</v>
      </c>
      <c r="O12" s="52"/>
    </row>
    <row r="13" spans="1:18" hidden="1" x14ac:dyDescent="0.2">
      <c r="B13" s="92" t="s">
        <v>67</v>
      </c>
      <c r="C13" s="93">
        <f>1/1200</f>
        <v>8.3333333333333339E-4</v>
      </c>
      <c r="D13" s="191"/>
      <c r="E13" s="97" t="str">
        <f>M7</f>
        <v>Emp/Child</v>
      </c>
      <c r="F13" s="53" t="str">
        <f>M7</f>
        <v>Emp/Child</v>
      </c>
      <c r="G13" s="53" t="str">
        <f>M7</f>
        <v>Emp/Child</v>
      </c>
      <c r="H13" s="52"/>
      <c r="I13" s="52"/>
      <c r="J13" s="93"/>
      <c r="K13" s="92" t="str">
        <f>B11&amp;M8</f>
        <v>FT_BE_09Emp/Spouse</v>
      </c>
      <c r="L13" s="62">
        <f>N8</f>
        <v>0</v>
      </c>
      <c r="M13" s="63">
        <v>0.18</v>
      </c>
      <c r="N13" s="93">
        <v>100</v>
      </c>
      <c r="O13" s="52"/>
    </row>
    <row r="14" spans="1:18" hidden="1" x14ac:dyDescent="0.2">
      <c r="B14" s="92" t="s">
        <v>174</v>
      </c>
      <c r="C14" s="93">
        <f>1/1200</f>
        <v>8.3333333333333339E-4</v>
      </c>
      <c r="D14" s="191"/>
      <c r="E14" s="97" t="str">
        <f>M8</f>
        <v>Emp/Spouse</v>
      </c>
      <c r="F14" s="53" t="str">
        <f>M8</f>
        <v>Emp/Spouse</v>
      </c>
      <c r="G14" s="53" t="str">
        <f>M8</f>
        <v>Emp/Spouse</v>
      </c>
      <c r="H14" s="52"/>
      <c r="I14" s="52"/>
      <c r="J14" s="93"/>
      <c r="K14" s="92" t="str">
        <f>B11&amp;M9</f>
        <v>FT_BE_09Emp Only</v>
      </c>
      <c r="L14" s="62">
        <f>N9</f>
        <v>0</v>
      </c>
      <c r="M14" s="63">
        <v>0.18</v>
      </c>
      <c r="N14" s="93">
        <v>100</v>
      </c>
      <c r="O14" s="52"/>
    </row>
    <row r="15" spans="1:18" hidden="1" x14ac:dyDescent="0.2">
      <c r="B15" s="92" t="s">
        <v>71</v>
      </c>
      <c r="C15" s="93">
        <v>1</v>
      </c>
      <c r="D15" s="191"/>
      <c r="E15" s="97" t="str">
        <f>M9</f>
        <v>Emp Only</v>
      </c>
      <c r="F15" s="53" t="str">
        <f>M9</f>
        <v>Emp Only</v>
      </c>
      <c r="G15" s="53" t="str">
        <f>M9</f>
        <v>Emp Only</v>
      </c>
      <c r="H15" s="52"/>
      <c r="I15" s="52"/>
      <c r="J15" s="93"/>
      <c r="K15" s="92" t="str">
        <f>B12&amp;M6</f>
        <v>FT_BE_12Emp/Family</v>
      </c>
      <c r="L15" s="62" t="e">
        <f>N6</f>
        <v>#REF!</v>
      </c>
      <c r="M15" s="63">
        <v>0.18</v>
      </c>
      <c r="N15" s="93">
        <v>100</v>
      </c>
      <c r="O15" s="52"/>
    </row>
    <row r="16" spans="1:18" ht="13.5" hidden="1" thickBot="1" x14ac:dyDescent="0.25">
      <c r="B16" s="94" t="s">
        <v>65</v>
      </c>
      <c r="C16" s="95">
        <v>0</v>
      </c>
      <c r="D16" s="191"/>
      <c r="E16" s="94" t="s">
        <v>69</v>
      </c>
      <c r="F16" s="190" t="s">
        <v>69</v>
      </c>
      <c r="G16" s="190" t="s">
        <v>69</v>
      </c>
      <c r="H16" s="98"/>
      <c r="I16" s="98"/>
      <c r="J16" s="95"/>
      <c r="K16" s="92" t="str">
        <f>B12&amp;M7</f>
        <v>FT_BE_12Emp/Child</v>
      </c>
      <c r="L16" s="62">
        <f>N7</f>
        <v>0</v>
      </c>
      <c r="M16" s="63">
        <v>0.18</v>
      </c>
      <c r="N16" s="93">
        <v>100</v>
      </c>
      <c r="O16" s="52"/>
    </row>
    <row r="17" spans="2:15" hidden="1" x14ac:dyDescent="0.2">
      <c r="B17" s="52"/>
      <c r="C17" s="52"/>
      <c r="D17" s="52"/>
      <c r="E17" s="52"/>
      <c r="F17" s="52"/>
      <c r="G17" s="52"/>
      <c r="H17" s="52"/>
      <c r="I17" s="52"/>
      <c r="J17" s="52"/>
      <c r="K17" s="92" t="str">
        <f>B12&amp;M8</f>
        <v>FT_BE_12Emp/Spouse</v>
      </c>
      <c r="L17" s="62">
        <f>N8</f>
        <v>0</v>
      </c>
      <c r="M17" s="63">
        <v>0.18</v>
      </c>
      <c r="N17" s="93">
        <v>100</v>
      </c>
      <c r="O17" s="52"/>
    </row>
    <row r="18" spans="2:15" hidden="1" x14ac:dyDescent="0.2">
      <c r="B18" s="52"/>
      <c r="C18" s="52"/>
      <c r="D18" s="52"/>
      <c r="E18" s="52"/>
      <c r="F18" s="52"/>
      <c r="G18" s="52"/>
      <c r="H18" s="52"/>
      <c r="I18" s="52"/>
      <c r="J18" s="52"/>
      <c r="K18" s="92" t="str">
        <f>B12&amp;M9</f>
        <v>FT_BE_12Emp Only</v>
      </c>
      <c r="L18" s="62">
        <f>N9</f>
        <v>0</v>
      </c>
      <c r="M18" s="63">
        <v>0.18</v>
      </c>
      <c r="N18" s="93">
        <v>100</v>
      </c>
      <c r="O18" s="52"/>
    </row>
    <row r="19" spans="2:15" hidden="1" x14ac:dyDescent="0.2">
      <c r="B19" s="52"/>
      <c r="C19" s="52"/>
      <c r="D19" s="52"/>
      <c r="E19" s="52"/>
      <c r="F19" s="52"/>
      <c r="G19" s="52"/>
      <c r="H19" s="52"/>
      <c r="I19" s="52"/>
      <c r="J19" s="52"/>
      <c r="K19" s="92" t="str">
        <f>B13&amp;M6</f>
        <v>PT_BE_12Emp/Family</v>
      </c>
      <c r="L19" s="62" t="e">
        <f>N6</f>
        <v>#REF!</v>
      </c>
      <c r="M19" s="63">
        <v>0.18</v>
      </c>
      <c r="N19" s="93">
        <v>50</v>
      </c>
      <c r="O19" s="52"/>
    </row>
    <row r="20" spans="2:15" hidden="1" x14ac:dyDescent="0.2">
      <c r="B20" s="52"/>
      <c r="C20" s="52"/>
      <c r="D20" s="52"/>
      <c r="E20" s="52"/>
      <c r="F20" s="52"/>
      <c r="G20" s="52"/>
      <c r="H20" s="52"/>
      <c r="I20" s="52"/>
      <c r="J20" s="52"/>
      <c r="K20" s="92" t="str">
        <f>B13&amp;M7</f>
        <v>PT_BE_12Emp/Child</v>
      </c>
      <c r="L20" s="62">
        <f>N7</f>
        <v>0</v>
      </c>
      <c r="M20" s="63">
        <v>0.18</v>
      </c>
      <c r="N20" s="93">
        <v>50</v>
      </c>
      <c r="O20" s="52"/>
    </row>
    <row r="21" spans="2:15" hidden="1" x14ac:dyDescent="0.2">
      <c r="B21" s="52"/>
      <c r="C21" s="52"/>
      <c r="D21" s="52"/>
      <c r="E21" s="52"/>
      <c r="F21" s="52"/>
      <c r="G21" s="52"/>
      <c r="H21" s="52"/>
      <c r="I21" s="52"/>
      <c r="J21" s="52"/>
      <c r="K21" s="92" t="str">
        <f>B13&amp;M8</f>
        <v>PT_BE_12Emp/Spouse</v>
      </c>
      <c r="L21" s="62">
        <f>N8</f>
        <v>0</v>
      </c>
      <c r="M21" s="63">
        <v>0.18</v>
      </c>
      <c r="N21" s="93">
        <v>50</v>
      </c>
      <c r="O21" s="52"/>
    </row>
    <row r="22" spans="2:15" hidden="1" x14ac:dyDescent="0.2">
      <c r="B22" s="52"/>
      <c r="C22" s="52"/>
      <c r="D22" s="52"/>
      <c r="E22" s="52"/>
      <c r="F22" s="52"/>
      <c r="G22" s="52"/>
      <c r="H22" s="52"/>
      <c r="I22" s="52"/>
      <c r="J22" s="52"/>
      <c r="K22" s="92" t="str">
        <f>B13&amp;M9</f>
        <v>PT_BE_12Emp Only</v>
      </c>
      <c r="L22" s="62">
        <f>N9</f>
        <v>0</v>
      </c>
      <c r="M22" s="63">
        <v>0.18</v>
      </c>
      <c r="N22" s="93">
        <v>50</v>
      </c>
      <c r="O22" s="52"/>
    </row>
    <row r="23" spans="2:15" hidden="1" x14ac:dyDescent="0.2">
      <c r="B23" s="52"/>
      <c r="C23" s="52"/>
      <c r="D23" s="52"/>
      <c r="E23" s="52"/>
      <c r="F23" s="52"/>
      <c r="G23" s="52"/>
      <c r="H23" s="52"/>
      <c r="I23" s="52"/>
      <c r="J23" s="52"/>
      <c r="K23" s="92" t="str">
        <f>B14&amp;H12</f>
        <v>PT_NB_12None</v>
      </c>
      <c r="L23" s="52">
        <v>0</v>
      </c>
      <c r="M23" s="63">
        <v>0.08</v>
      </c>
      <c r="N23" s="93">
        <v>0</v>
      </c>
      <c r="O23" s="52"/>
    </row>
    <row r="24" spans="2:15" hidden="1" x14ac:dyDescent="0.2">
      <c r="B24" s="52"/>
      <c r="C24" s="52"/>
      <c r="D24" s="52"/>
      <c r="E24" s="52"/>
      <c r="F24" s="52"/>
      <c r="G24" s="52"/>
      <c r="H24" s="52"/>
      <c r="I24" s="52"/>
      <c r="J24" s="52"/>
      <c r="K24" s="92" t="str">
        <f>B11&amp;N10</f>
        <v>FT_BE_09Select One</v>
      </c>
      <c r="L24" s="52">
        <v>0</v>
      </c>
      <c r="M24" s="63">
        <v>0</v>
      </c>
      <c r="N24" s="93">
        <v>0</v>
      </c>
      <c r="O24" s="52"/>
    </row>
    <row r="25" spans="2:15" hidden="1" x14ac:dyDescent="0.2">
      <c r="B25" s="52"/>
      <c r="C25" s="52"/>
      <c r="D25" s="52"/>
      <c r="E25" s="52"/>
      <c r="F25" s="52"/>
      <c r="G25" s="52"/>
      <c r="H25" s="52"/>
      <c r="I25" s="52"/>
      <c r="J25" s="52"/>
      <c r="K25" s="92" t="str">
        <f>B12&amp;N10</f>
        <v>FT_BE_12Select One</v>
      </c>
      <c r="L25" s="52">
        <v>0</v>
      </c>
      <c r="M25" s="63">
        <v>0</v>
      </c>
      <c r="N25" s="93">
        <v>0</v>
      </c>
      <c r="O25" s="52"/>
    </row>
    <row r="26" spans="2:15" hidden="1" x14ac:dyDescent="0.2">
      <c r="B26" s="52"/>
      <c r="C26" s="52"/>
      <c r="D26" s="52"/>
      <c r="E26" s="52"/>
      <c r="F26" s="52"/>
      <c r="G26" s="52"/>
      <c r="H26" s="52"/>
      <c r="I26" s="52"/>
      <c r="J26" s="52"/>
      <c r="K26" s="92" t="str">
        <f>B13&amp;N10</f>
        <v>PT_BE_12Select One</v>
      </c>
      <c r="L26" s="52">
        <v>0</v>
      </c>
      <c r="M26" s="63">
        <v>0</v>
      </c>
      <c r="N26" s="93">
        <v>0</v>
      </c>
      <c r="O26" s="52"/>
    </row>
    <row r="27" spans="2:15" hidden="1" x14ac:dyDescent="0.2">
      <c r="B27" s="52"/>
      <c r="C27" s="52"/>
      <c r="D27" s="52"/>
      <c r="E27" s="52"/>
      <c r="F27" s="52"/>
      <c r="G27" s="52"/>
      <c r="H27" s="52"/>
      <c r="I27" s="52"/>
      <c r="J27" s="52"/>
      <c r="K27" s="92" t="str">
        <f>B14&amp;N10</f>
        <v>PT_NB_12Select One</v>
      </c>
      <c r="L27" s="52">
        <v>0</v>
      </c>
      <c r="M27" s="63">
        <v>0</v>
      </c>
      <c r="N27" s="93">
        <v>0</v>
      </c>
      <c r="O27" s="52"/>
    </row>
    <row r="28" spans="2:15" hidden="1" x14ac:dyDescent="0.2">
      <c r="B28" s="52"/>
      <c r="C28" s="52"/>
      <c r="D28" s="52"/>
      <c r="E28" s="52"/>
      <c r="F28" s="52"/>
      <c r="G28" s="52"/>
      <c r="H28" s="52"/>
      <c r="I28" s="52"/>
      <c r="J28" s="52"/>
      <c r="K28" s="92" t="str">
        <f>B15&amp;J11</f>
        <v>HourlySelect One</v>
      </c>
      <c r="L28" s="52">
        <v>0</v>
      </c>
      <c r="M28" s="64">
        <v>0</v>
      </c>
      <c r="N28" s="93">
        <v>0</v>
      </c>
      <c r="O28" s="52"/>
    </row>
    <row r="29" spans="2:15" hidden="1" x14ac:dyDescent="0.2">
      <c r="B29" s="52"/>
      <c r="C29" s="52"/>
      <c r="D29" s="52"/>
      <c r="E29" s="52"/>
      <c r="F29" s="52"/>
      <c r="G29" s="52"/>
      <c r="H29" s="52"/>
      <c r="I29" s="52"/>
      <c r="J29" s="52"/>
      <c r="K29" s="92" t="str">
        <f>B15&amp;J12</f>
        <v>HourlyNone</v>
      </c>
      <c r="L29" s="52">
        <v>0</v>
      </c>
      <c r="M29" s="64">
        <v>0.08</v>
      </c>
      <c r="N29" s="93">
        <v>0</v>
      </c>
      <c r="O29" s="52"/>
    </row>
    <row r="30" spans="2:15" hidden="1" x14ac:dyDescent="0.2">
      <c r="B30" s="52"/>
      <c r="C30" s="52"/>
      <c r="D30" s="52"/>
      <c r="E30" s="52"/>
      <c r="F30" s="52"/>
      <c r="G30" s="52"/>
      <c r="H30" s="52"/>
      <c r="I30" s="52"/>
      <c r="J30" s="52"/>
      <c r="K30" s="92" t="str">
        <f>B11&amp;E16</f>
        <v>FT_BE_09None</v>
      </c>
      <c r="L30" s="52">
        <v>0</v>
      </c>
      <c r="M30" s="64">
        <v>0.18</v>
      </c>
      <c r="N30" s="93">
        <v>100</v>
      </c>
      <c r="O30" s="52"/>
    </row>
    <row r="31" spans="2:15" hidden="1" x14ac:dyDescent="0.2">
      <c r="B31" s="52"/>
      <c r="C31" s="52"/>
      <c r="D31" s="52"/>
      <c r="E31" s="52"/>
      <c r="F31" s="52"/>
      <c r="G31" s="52"/>
      <c r="H31" s="52"/>
      <c r="I31" s="52"/>
      <c r="J31" s="52"/>
      <c r="K31" s="92" t="str">
        <f>B12&amp;F16</f>
        <v>FT_BE_12None</v>
      </c>
      <c r="L31" s="52">
        <v>0</v>
      </c>
      <c r="M31" s="64">
        <v>0.18</v>
      </c>
      <c r="N31" s="93">
        <v>100</v>
      </c>
      <c r="O31" s="52"/>
    </row>
    <row r="32" spans="2:15" hidden="1" x14ac:dyDescent="0.2">
      <c r="B32" s="52"/>
      <c r="C32" s="52"/>
      <c r="D32" s="52"/>
      <c r="E32" s="52"/>
      <c r="F32" s="52"/>
      <c r="G32" s="52"/>
      <c r="H32" s="52"/>
      <c r="I32" s="52"/>
      <c r="J32" s="52"/>
      <c r="K32" s="92" t="str">
        <f>B13&amp;G16</f>
        <v>PT_BE_12None</v>
      </c>
      <c r="L32" s="52">
        <v>0</v>
      </c>
      <c r="M32" s="64">
        <v>0.18</v>
      </c>
      <c r="N32" s="93">
        <v>100</v>
      </c>
      <c r="O32" s="52"/>
    </row>
    <row r="33" spans="1:19" ht="13.5" hidden="1" thickBot="1" x14ac:dyDescent="0.25">
      <c r="B33" s="52"/>
      <c r="C33" s="52"/>
      <c r="D33" s="52"/>
      <c r="E33" s="52"/>
      <c r="F33" s="52"/>
      <c r="G33" s="52"/>
      <c r="H33" s="52"/>
      <c r="I33" s="52"/>
      <c r="J33" s="52"/>
      <c r="K33" s="94" t="str">
        <f>B16&amp;Select</f>
        <v>SelectSelect One</v>
      </c>
      <c r="L33" s="98">
        <v>0</v>
      </c>
      <c r="M33" s="98">
        <v>0</v>
      </c>
      <c r="N33" s="95">
        <v>0</v>
      </c>
      <c r="O33" s="52"/>
    </row>
    <row r="34" spans="1:19" ht="18" customHeight="1" thickBot="1" x14ac:dyDescent="0.25">
      <c r="A34" s="360"/>
      <c r="B34" s="360"/>
      <c r="C34" s="360"/>
      <c r="D34" s="360"/>
      <c r="E34" s="360"/>
      <c r="F34" s="360"/>
      <c r="G34" s="360"/>
      <c r="H34" s="360"/>
      <c r="I34" s="360"/>
      <c r="J34" s="360"/>
      <c r="K34" s="360"/>
      <c r="L34" s="360"/>
      <c r="M34" s="360"/>
      <c r="N34" s="360"/>
      <c r="O34" s="360"/>
    </row>
    <row r="35" spans="1:19" ht="13.5" customHeight="1" x14ac:dyDescent="0.2">
      <c r="A35" s="361" t="s">
        <v>38</v>
      </c>
      <c r="B35" s="409" t="s">
        <v>208</v>
      </c>
      <c r="C35" s="383"/>
      <c r="D35" s="383"/>
      <c r="E35" s="383"/>
      <c r="F35" s="383"/>
      <c r="G35" s="383"/>
      <c r="H35" s="383"/>
      <c r="I35" s="383"/>
      <c r="J35" s="383"/>
      <c r="K35" s="410" t="s">
        <v>70</v>
      </c>
      <c r="L35" s="411"/>
      <c r="M35" s="193" t="e">
        <f>SUM(M37:M63)</f>
        <v>#REF!</v>
      </c>
      <c r="N35" s="193" t="e">
        <f>SUM(N37:N63)</f>
        <v>#REF!</v>
      </c>
      <c r="O35" s="20" t="e">
        <f>SUM(O37:O63)</f>
        <v>#REF!</v>
      </c>
    </row>
    <row r="36" spans="1:19" ht="39" customHeight="1" x14ac:dyDescent="0.2">
      <c r="A36" s="362"/>
      <c r="B36" s="364" t="s">
        <v>60</v>
      </c>
      <c r="C36" s="364"/>
      <c r="D36" s="85" t="s">
        <v>1</v>
      </c>
      <c r="E36" s="85" t="s">
        <v>74</v>
      </c>
      <c r="F36" s="86" t="s">
        <v>15</v>
      </c>
      <c r="G36" s="365" t="s">
        <v>73</v>
      </c>
      <c r="H36" s="366"/>
      <c r="I36" s="85" t="s">
        <v>189</v>
      </c>
      <c r="J36" s="85" t="s">
        <v>72</v>
      </c>
      <c r="K36" s="87" t="s">
        <v>198</v>
      </c>
      <c r="L36" s="85" t="s">
        <v>7</v>
      </c>
      <c r="M36" s="85" t="s">
        <v>77</v>
      </c>
      <c r="N36" s="85" t="s">
        <v>31</v>
      </c>
      <c r="O36" s="88" t="s">
        <v>209</v>
      </c>
      <c r="P36" s="82"/>
      <c r="S36" s="7"/>
    </row>
    <row r="37" spans="1:19" ht="13.5" customHeight="1" x14ac:dyDescent="0.2">
      <c r="A37" s="362"/>
      <c r="B37" s="367" t="e">
        <f>IF('Per6'!B37&lt;&gt;"",'Per6'!B37,"")</f>
        <v>#REF!</v>
      </c>
      <c r="C37" s="367"/>
      <c r="D37" s="129" t="e">
        <f>IF('Per6'!D37&lt;&gt;"",'Per6'!D37,"")</f>
        <v>#REF!</v>
      </c>
      <c r="E37" s="124" t="e">
        <f>'Per6'!E37</f>
        <v>#REF!</v>
      </c>
      <c r="F37" s="54" t="e">
        <f>'Per6'!F37</f>
        <v>#REF!</v>
      </c>
      <c r="G37" s="368" t="e">
        <f>IF(E37="Hourly",ROUND('Per6'!G37*1.03,2),ROUND('Per6'!G37*1.03,0))</f>
        <v>#REF!</v>
      </c>
      <c r="H37" s="369"/>
      <c r="I37" s="8"/>
      <c r="J37" s="59"/>
      <c r="K37" s="9" t="e">
        <f>IF(E37="Hourly",I37*J37/173.33,I37*J37/100)</f>
        <v>#REF!</v>
      </c>
      <c r="L37" s="10" t="e">
        <f t="shared" ref="L37:L63" si="0">IF(M37&lt;&gt;0,SUM(N37/M37),"-")</f>
        <v>#REF!</v>
      </c>
      <c r="M37" s="45" t="e">
        <f t="shared" ref="M37:M63" si="1">ROUND((G37*I37*J37*VLOOKUP(E37,$B$11:$C$16,2,FALSE)),0)</f>
        <v>#REF!</v>
      </c>
      <c r="N37" s="45" t="e">
        <f t="shared" ref="N37:N63" si="2">ROUND(M37*VLOOKUP(E37&amp;F37,$K$11:$N$33,3,FALSE)+VLOOKUP(E37&amp;F37,$K$11:$N$33,2,FALSE)*MIN(J37,VLOOKUP(E37&amp;F37,$K$11:$N$33,4,FALSE))*I37/100,0)</f>
        <v>#REF!</v>
      </c>
      <c r="O37" s="46" t="e">
        <f t="shared" ref="O37:O63" si="3">M37+N37</f>
        <v>#REF!</v>
      </c>
      <c r="P37" s="73"/>
      <c r="Q37" s="17" t="s">
        <v>75</v>
      </c>
      <c r="S37" s="5"/>
    </row>
    <row r="38" spans="1:19" ht="13.5" customHeight="1" x14ac:dyDescent="0.2">
      <c r="A38" s="362"/>
      <c r="B38" s="367" t="e">
        <f>IF('Per6'!B38&lt;&gt;"",'Per6'!B38,"")</f>
        <v>#REF!</v>
      </c>
      <c r="C38" s="367"/>
      <c r="D38" s="129" t="e">
        <f>IF('Per6'!D38&lt;&gt;"",'Per6'!D38,"")</f>
        <v>#REF!</v>
      </c>
      <c r="E38" s="124" t="e">
        <f>'Per6'!E38</f>
        <v>#REF!</v>
      </c>
      <c r="F38" s="54" t="e">
        <f>'Per6'!F38</f>
        <v>#REF!</v>
      </c>
      <c r="G38" s="368" t="e">
        <f>IF(E38="Hourly",ROUND('Per6'!G38*1.03,2),ROUND('Per6'!G38*1.03,0))</f>
        <v>#REF!</v>
      </c>
      <c r="H38" s="369"/>
      <c r="I38" s="8"/>
      <c r="J38" s="59"/>
      <c r="K38" s="9" t="e">
        <f t="shared" ref="K38:K63" si="4">IF(E38="Hourly",I38*J38/173.33,I38*J38/100)</f>
        <v>#REF!</v>
      </c>
      <c r="L38" s="10" t="e">
        <f t="shared" si="0"/>
        <v>#REF!</v>
      </c>
      <c r="M38" s="45" t="e">
        <f t="shared" si="1"/>
        <v>#REF!</v>
      </c>
      <c r="N38" s="45" t="e">
        <f t="shared" si="2"/>
        <v>#REF!</v>
      </c>
      <c r="O38" s="11" t="e">
        <f t="shared" si="3"/>
        <v>#REF!</v>
      </c>
      <c r="P38" s="74"/>
      <c r="Q38" s="17" t="s">
        <v>194</v>
      </c>
      <c r="S38" s="5"/>
    </row>
    <row r="39" spans="1:19" ht="13.5" customHeight="1" x14ac:dyDescent="0.2">
      <c r="A39" s="362"/>
      <c r="B39" s="367" t="e">
        <f>IF('Per6'!B39&lt;&gt;"",'Per6'!B39,"")</f>
        <v>#REF!</v>
      </c>
      <c r="C39" s="367"/>
      <c r="D39" s="129" t="e">
        <f>IF('Per6'!D39&lt;&gt;"",'Per6'!D39,"")</f>
        <v>#REF!</v>
      </c>
      <c r="E39" s="124" t="e">
        <f>'Per6'!E39</f>
        <v>#REF!</v>
      </c>
      <c r="F39" s="54" t="e">
        <f>'Per6'!F39</f>
        <v>#REF!</v>
      </c>
      <c r="G39" s="368" t="e">
        <f>IF(E39="Hourly",ROUND('Per6'!G39*1.03,2),ROUND('Per6'!G39*1.03,0))</f>
        <v>#REF!</v>
      </c>
      <c r="H39" s="369"/>
      <c r="I39" s="8"/>
      <c r="J39" s="59"/>
      <c r="K39" s="9" t="e">
        <f t="shared" si="4"/>
        <v>#REF!</v>
      </c>
      <c r="L39" s="10" t="e">
        <f t="shared" si="0"/>
        <v>#REF!</v>
      </c>
      <c r="M39" s="45" t="e">
        <f t="shared" si="1"/>
        <v>#REF!</v>
      </c>
      <c r="N39" s="45" t="e">
        <f t="shared" si="2"/>
        <v>#REF!</v>
      </c>
      <c r="O39" s="11" t="e">
        <f t="shared" si="3"/>
        <v>#REF!</v>
      </c>
      <c r="P39" s="74"/>
      <c r="Q39" s="17" t="s">
        <v>195</v>
      </c>
      <c r="S39" s="5"/>
    </row>
    <row r="40" spans="1:19" ht="13.5" customHeight="1" x14ac:dyDescent="0.2">
      <c r="A40" s="362"/>
      <c r="B40" s="367" t="e">
        <f>IF('Per6'!B40&lt;&gt;"",'Per6'!B40,"")</f>
        <v>#REF!</v>
      </c>
      <c r="C40" s="367"/>
      <c r="D40" s="129" t="e">
        <f>IF('Per6'!D40&lt;&gt;"",'Per6'!D40,"")</f>
        <v>#REF!</v>
      </c>
      <c r="E40" s="124" t="e">
        <f>'Per6'!E40</f>
        <v>#REF!</v>
      </c>
      <c r="F40" s="54" t="e">
        <f>'Per6'!F40</f>
        <v>#REF!</v>
      </c>
      <c r="G40" s="368" t="e">
        <f>IF(E40="Hourly",ROUND('Per6'!G40*1.03,2),ROUND('Per6'!G40*1.03,0))</f>
        <v>#REF!</v>
      </c>
      <c r="H40" s="369"/>
      <c r="I40" s="8"/>
      <c r="J40" s="59"/>
      <c r="K40" s="9" t="e">
        <f t="shared" si="4"/>
        <v>#REF!</v>
      </c>
      <c r="L40" s="10" t="e">
        <f t="shared" si="0"/>
        <v>#REF!</v>
      </c>
      <c r="M40" s="45" t="e">
        <f t="shared" si="1"/>
        <v>#REF!</v>
      </c>
      <c r="N40" s="45" t="e">
        <f t="shared" si="2"/>
        <v>#REF!</v>
      </c>
      <c r="O40" s="11" t="e">
        <f t="shared" si="3"/>
        <v>#REF!</v>
      </c>
      <c r="P40" s="74"/>
      <c r="Q40" s="17" t="s">
        <v>196</v>
      </c>
      <c r="S40" s="5"/>
    </row>
    <row r="41" spans="1:19" ht="13.5" customHeight="1" x14ac:dyDescent="0.2">
      <c r="A41" s="362"/>
      <c r="B41" s="367" t="e">
        <f>IF('Per6'!B41&lt;&gt;"",'Per6'!B41,"")</f>
        <v>#REF!</v>
      </c>
      <c r="C41" s="367"/>
      <c r="D41" s="129" t="e">
        <f>IF('Per6'!D41&lt;&gt;"",'Per6'!D41,"")</f>
        <v>#REF!</v>
      </c>
      <c r="E41" s="124" t="e">
        <f>'Per6'!E41</f>
        <v>#REF!</v>
      </c>
      <c r="F41" s="54" t="e">
        <f>'Per6'!F41</f>
        <v>#REF!</v>
      </c>
      <c r="G41" s="368" t="e">
        <f>IF(E41="Hourly",ROUND('Per6'!G41*1.03,2),ROUND('Per6'!G41*1.03,0))</f>
        <v>#REF!</v>
      </c>
      <c r="H41" s="369"/>
      <c r="I41" s="8"/>
      <c r="J41" s="59"/>
      <c r="K41" s="9" t="e">
        <f t="shared" si="4"/>
        <v>#REF!</v>
      </c>
      <c r="L41" s="10" t="e">
        <f t="shared" si="0"/>
        <v>#REF!</v>
      </c>
      <c r="M41" s="45" t="e">
        <f t="shared" si="1"/>
        <v>#REF!</v>
      </c>
      <c r="N41" s="45" t="e">
        <f t="shared" si="2"/>
        <v>#REF!</v>
      </c>
      <c r="O41" s="11" t="e">
        <f t="shared" si="3"/>
        <v>#REF!</v>
      </c>
      <c r="P41" s="74"/>
      <c r="Q41" s="17" t="s">
        <v>192</v>
      </c>
      <c r="S41" s="5"/>
    </row>
    <row r="42" spans="1:19" ht="13.5" customHeight="1" x14ac:dyDescent="0.2">
      <c r="A42" s="362"/>
      <c r="B42" s="367" t="e">
        <f>IF('Per6'!B42&lt;&gt;"",'Per6'!B42,"")</f>
        <v>#REF!</v>
      </c>
      <c r="C42" s="367"/>
      <c r="D42" s="129" t="e">
        <f>IF('Per6'!D42&lt;&gt;"",'Per6'!D42,"")</f>
        <v>#REF!</v>
      </c>
      <c r="E42" s="124" t="e">
        <f>'Per6'!E42</f>
        <v>#REF!</v>
      </c>
      <c r="F42" s="54" t="e">
        <f>'Per6'!F42</f>
        <v>#REF!</v>
      </c>
      <c r="G42" s="368" t="e">
        <f>IF(E42="Hourly",ROUND('Per6'!G42*1.03,2),ROUND('Per6'!G42*1.03,0))</f>
        <v>#REF!</v>
      </c>
      <c r="H42" s="369"/>
      <c r="I42" s="8"/>
      <c r="J42" s="59"/>
      <c r="K42" s="9" t="e">
        <f t="shared" si="4"/>
        <v>#REF!</v>
      </c>
      <c r="L42" s="10" t="e">
        <f t="shared" si="0"/>
        <v>#REF!</v>
      </c>
      <c r="M42" s="45" t="e">
        <f t="shared" si="1"/>
        <v>#REF!</v>
      </c>
      <c r="N42" s="45" t="e">
        <f t="shared" si="2"/>
        <v>#REF!</v>
      </c>
      <c r="O42" s="11" t="e">
        <f t="shared" si="3"/>
        <v>#REF!</v>
      </c>
      <c r="P42" s="74"/>
      <c r="Q42" s="17" t="s">
        <v>193</v>
      </c>
      <c r="S42" s="3"/>
    </row>
    <row r="43" spans="1:19" ht="13.5" customHeight="1" x14ac:dyDescent="0.2">
      <c r="A43" s="362"/>
      <c r="B43" s="367" t="e">
        <f>IF('Per6'!B43&lt;&gt;"",'Per6'!B43,"")</f>
        <v>#REF!</v>
      </c>
      <c r="C43" s="367"/>
      <c r="D43" s="129" t="e">
        <f>IF('Per6'!D43&lt;&gt;"",'Per6'!D43,"")</f>
        <v>#REF!</v>
      </c>
      <c r="E43" s="124" t="e">
        <f>'Per6'!E43</f>
        <v>#REF!</v>
      </c>
      <c r="F43" s="54" t="e">
        <f>'Per6'!F43</f>
        <v>#REF!</v>
      </c>
      <c r="G43" s="368" t="e">
        <f>IF(E43="Hourly",ROUND('Per6'!G43*1.03,2),ROUND('Per6'!G43*1.03,0))</f>
        <v>#REF!</v>
      </c>
      <c r="H43" s="369"/>
      <c r="I43" s="8"/>
      <c r="J43" s="59"/>
      <c r="K43" s="9" t="e">
        <f t="shared" si="4"/>
        <v>#REF!</v>
      </c>
      <c r="L43" s="10" t="e">
        <f t="shared" si="0"/>
        <v>#REF!</v>
      </c>
      <c r="M43" s="45" t="e">
        <f t="shared" si="1"/>
        <v>#REF!</v>
      </c>
      <c r="N43" s="45" t="e">
        <f t="shared" si="2"/>
        <v>#REF!</v>
      </c>
      <c r="O43" s="11" t="e">
        <f t="shared" si="3"/>
        <v>#REF!</v>
      </c>
      <c r="P43" s="74"/>
      <c r="Q43" s="17"/>
      <c r="S43" s="3"/>
    </row>
    <row r="44" spans="1:19" ht="13.5" customHeight="1" x14ac:dyDescent="0.2">
      <c r="A44" s="362"/>
      <c r="B44" s="367" t="e">
        <f>IF('Per6'!B44&lt;&gt;"",'Per6'!B44,"")</f>
        <v>#REF!</v>
      </c>
      <c r="C44" s="367"/>
      <c r="D44" s="129" t="e">
        <f>IF('Per6'!D44&lt;&gt;"",'Per6'!D44,"")</f>
        <v>#REF!</v>
      </c>
      <c r="E44" s="124" t="e">
        <f>'Per6'!E44</f>
        <v>#REF!</v>
      </c>
      <c r="F44" s="54" t="e">
        <f>'Per6'!F44</f>
        <v>#REF!</v>
      </c>
      <c r="G44" s="368" t="e">
        <f>IF(E44="Hourly",ROUND('Per6'!G44*1.03,2),ROUND('Per6'!G44*1.03,0))</f>
        <v>#REF!</v>
      </c>
      <c r="H44" s="369"/>
      <c r="I44" s="8"/>
      <c r="J44" s="59"/>
      <c r="K44" s="9" t="e">
        <f t="shared" si="4"/>
        <v>#REF!</v>
      </c>
      <c r="L44" s="10" t="e">
        <f t="shared" si="0"/>
        <v>#REF!</v>
      </c>
      <c r="M44" s="45" t="e">
        <f t="shared" si="1"/>
        <v>#REF!</v>
      </c>
      <c r="N44" s="45" t="e">
        <f t="shared" si="2"/>
        <v>#REF!</v>
      </c>
      <c r="O44" s="11" t="e">
        <f t="shared" si="3"/>
        <v>#REF!</v>
      </c>
      <c r="P44" s="74"/>
      <c r="Q44" s="17"/>
      <c r="S44" s="3"/>
    </row>
    <row r="45" spans="1:19" ht="13.5" customHeight="1" x14ac:dyDescent="0.2">
      <c r="A45" s="362"/>
      <c r="B45" s="367" t="e">
        <f>IF('Per6'!B45&lt;&gt;"",'Per6'!B45,"")</f>
        <v>#REF!</v>
      </c>
      <c r="C45" s="367"/>
      <c r="D45" s="129" t="e">
        <f>IF('Per6'!D45&lt;&gt;"",'Per6'!D45,"")</f>
        <v>#REF!</v>
      </c>
      <c r="E45" s="124" t="e">
        <f>'Per6'!E45</f>
        <v>#REF!</v>
      </c>
      <c r="F45" s="54" t="e">
        <f>'Per6'!F45</f>
        <v>#REF!</v>
      </c>
      <c r="G45" s="368" t="e">
        <f>IF(E45="Hourly",ROUND('Per6'!G45*1.03,2),ROUND('Per6'!G45*1.03,0))</f>
        <v>#REF!</v>
      </c>
      <c r="H45" s="369"/>
      <c r="I45" s="8"/>
      <c r="J45" s="59"/>
      <c r="K45" s="9" t="e">
        <f t="shared" si="4"/>
        <v>#REF!</v>
      </c>
      <c r="L45" s="10" t="e">
        <f t="shared" si="0"/>
        <v>#REF!</v>
      </c>
      <c r="M45" s="45" t="e">
        <f t="shared" si="1"/>
        <v>#REF!</v>
      </c>
      <c r="N45" s="45" t="e">
        <f t="shared" si="2"/>
        <v>#REF!</v>
      </c>
      <c r="O45" s="11" t="e">
        <f t="shared" si="3"/>
        <v>#REF!</v>
      </c>
      <c r="P45" s="74"/>
      <c r="Q45" s="17"/>
      <c r="S45" s="3"/>
    </row>
    <row r="46" spans="1:19" ht="13.5" customHeight="1" x14ac:dyDescent="0.2">
      <c r="A46" s="362"/>
      <c r="B46" s="367" t="e">
        <f>IF('Per6'!B46&lt;&gt;"",'Per6'!B46,"")</f>
        <v>#REF!</v>
      </c>
      <c r="C46" s="367"/>
      <c r="D46" s="129" t="e">
        <f>IF('Per6'!D46&lt;&gt;"",'Per6'!D46,"")</f>
        <v>#REF!</v>
      </c>
      <c r="E46" s="124" t="e">
        <f>'Per6'!E46</f>
        <v>#REF!</v>
      </c>
      <c r="F46" s="54" t="e">
        <f>'Per6'!F46</f>
        <v>#REF!</v>
      </c>
      <c r="G46" s="368" t="e">
        <f>IF(E46="Hourly",ROUND('Per6'!G46*1.03,2),ROUND('Per6'!G46*1.03,0))</f>
        <v>#REF!</v>
      </c>
      <c r="H46" s="369"/>
      <c r="I46" s="8"/>
      <c r="J46" s="59"/>
      <c r="K46" s="9" t="e">
        <f t="shared" si="4"/>
        <v>#REF!</v>
      </c>
      <c r="L46" s="10" t="e">
        <f t="shared" si="0"/>
        <v>#REF!</v>
      </c>
      <c r="M46" s="45" t="e">
        <f t="shared" si="1"/>
        <v>#REF!</v>
      </c>
      <c r="N46" s="45" t="e">
        <f t="shared" si="2"/>
        <v>#REF!</v>
      </c>
      <c r="O46" s="11" t="e">
        <f t="shared" si="3"/>
        <v>#REF!</v>
      </c>
      <c r="P46" s="74"/>
      <c r="Q46" s="17"/>
      <c r="S46" s="3"/>
    </row>
    <row r="47" spans="1:19" ht="13.5" customHeight="1" thickBot="1" x14ac:dyDescent="0.25">
      <c r="A47" s="362"/>
      <c r="B47" s="367" t="e">
        <f>IF('Per6'!B47&lt;&gt;"",'Per6'!B47,"")</f>
        <v>#REF!</v>
      </c>
      <c r="C47" s="367"/>
      <c r="D47" s="129" t="e">
        <f>IF('Per6'!D47&lt;&gt;"",'Per6'!D47,"")</f>
        <v>#REF!</v>
      </c>
      <c r="E47" s="124" t="e">
        <f>'Per6'!E47</f>
        <v>#REF!</v>
      </c>
      <c r="F47" s="54" t="e">
        <f>'Per6'!F47</f>
        <v>#REF!</v>
      </c>
      <c r="G47" s="368" t="e">
        <f>IF(E47="Hourly",ROUND('Per6'!G47*1.03,2),ROUND('Per6'!G47*1.03,0))</f>
        <v>#REF!</v>
      </c>
      <c r="H47" s="369"/>
      <c r="I47" s="8"/>
      <c r="J47" s="59"/>
      <c r="K47" s="9" t="e">
        <f t="shared" si="4"/>
        <v>#REF!</v>
      </c>
      <c r="L47" s="10" t="e">
        <f t="shared" si="0"/>
        <v>#REF!</v>
      </c>
      <c r="M47" s="45" t="e">
        <f t="shared" si="1"/>
        <v>#REF!</v>
      </c>
      <c r="N47" s="45" t="e">
        <f t="shared" si="2"/>
        <v>#REF!</v>
      </c>
      <c r="O47" s="11" t="e">
        <f t="shared" si="3"/>
        <v>#REF!</v>
      </c>
      <c r="P47" s="74"/>
      <c r="Q47" s="17" t="s">
        <v>205</v>
      </c>
      <c r="S47" s="3"/>
    </row>
    <row r="48" spans="1:19" ht="13.5" hidden="1" customHeight="1" x14ac:dyDescent="0.2">
      <c r="A48" s="362"/>
      <c r="B48" s="367" t="e">
        <f>IF('Per6'!B48&lt;&gt;"",'Per6'!B48,"")</f>
        <v>#REF!</v>
      </c>
      <c r="C48" s="367"/>
      <c r="D48" s="129" t="e">
        <f>IF('Per6'!D48&lt;&gt;"",'Per6'!D48,"")</f>
        <v>#REF!</v>
      </c>
      <c r="E48" s="124" t="e">
        <f>'Per6'!E48</f>
        <v>#REF!</v>
      </c>
      <c r="F48" s="54" t="e">
        <f>'Per6'!F48</f>
        <v>#REF!</v>
      </c>
      <c r="G48" s="368" t="e">
        <f>IF(E48="Hourly",ROUND('Per6'!G48*1.03,2),ROUND('Per6'!G48*1.03,0))</f>
        <v>#REF!</v>
      </c>
      <c r="H48" s="369"/>
      <c r="I48" s="8"/>
      <c r="J48" s="59"/>
      <c r="K48" s="9" t="e">
        <f t="shared" si="4"/>
        <v>#REF!</v>
      </c>
      <c r="L48" s="10" t="e">
        <f t="shared" si="0"/>
        <v>#REF!</v>
      </c>
      <c r="M48" s="45" t="e">
        <f t="shared" si="1"/>
        <v>#REF!</v>
      </c>
      <c r="N48" s="45" t="e">
        <f t="shared" si="2"/>
        <v>#REF!</v>
      </c>
      <c r="O48" s="11" t="e">
        <f t="shared" si="3"/>
        <v>#REF!</v>
      </c>
      <c r="P48" s="74"/>
      <c r="Q48" s="17"/>
      <c r="S48" s="3"/>
    </row>
    <row r="49" spans="1:19" ht="13.5" hidden="1" customHeight="1" x14ac:dyDescent="0.2">
      <c r="A49" s="362"/>
      <c r="B49" s="367" t="e">
        <f>IF('Per6'!B49&lt;&gt;"",'Per6'!B49,"")</f>
        <v>#REF!</v>
      </c>
      <c r="C49" s="367"/>
      <c r="D49" s="129" t="e">
        <f>IF('Per6'!D49&lt;&gt;"",'Per6'!D49,"")</f>
        <v>#REF!</v>
      </c>
      <c r="E49" s="124" t="e">
        <f>'Per6'!E49</f>
        <v>#REF!</v>
      </c>
      <c r="F49" s="54" t="e">
        <f>'Per6'!F49</f>
        <v>#REF!</v>
      </c>
      <c r="G49" s="368" t="e">
        <f>IF(E49="Hourly",ROUND('Per6'!G49*1.03,2),ROUND('Per6'!G49*1.03,0))</f>
        <v>#REF!</v>
      </c>
      <c r="H49" s="369"/>
      <c r="I49" s="8"/>
      <c r="J49" s="59"/>
      <c r="K49" s="9" t="e">
        <f t="shared" si="4"/>
        <v>#REF!</v>
      </c>
      <c r="L49" s="10" t="e">
        <f t="shared" si="0"/>
        <v>#REF!</v>
      </c>
      <c r="M49" s="45" t="e">
        <f t="shared" si="1"/>
        <v>#REF!</v>
      </c>
      <c r="N49" s="45" t="e">
        <f t="shared" si="2"/>
        <v>#REF!</v>
      </c>
      <c r="O49" s="11" t="e">
        <f t="shared" si="3"/>
        <v>#REF!</v>
      </c>
      <c r="P49" s="74"/>
      <c r="Q49" s="17"/>
      <c r="S49" s="3"/>
    </row>
    <row r="50" spans="1:19" ht="13.5" hidden="1" customHeight="1" x14ac:dyDescent="0.2">
      <c r="A50" s="362"/>
      <c r="B50" s="367" t="e">
        <f>IF('Per6'!B50&lt;&gt;"",'Per6'!B50,"")</f>
        <v>#REF!</v>
      </c>
      <c r="C50" s="367"/>
      <c r="D50" s="129" t="e">
        <f>IF('Per6'!D50&lt;&gt;"",'Per6'!D50,"")</f>
        <v>#REF!</v>
      </c>
      <c r="E50" s="124" t="e">
        <f>'Per6'!E50</f>
        <v>#REF!</v>
      </c>
      <c r="F50" s="54" t="e">
        <f>'Per6'!F50</f>
        <v>#REF!</v>
      </c>
      <c r="G50" s="368" t="e">
        <f>IF(E50="Hourly",ROUND('Per6'!G50*1.03,2),ROUND('Per6'!G50*1.03,0))</f>
        <v>#REF!</v>
      </c>
      <c r="H50" s="369"/>
      <c r="I50" s="8"/>
      <c r="J50" s="59"/>
      <c r="K50" s="9" t="e">
        <f t="shared" si="4"/>
        <v>#REF!</v>
      </c>
      <c r="L50" s="10" t="e">
        <f t="shared" si="0"/>
        <v>#REF!</v>
      </c>
      <c r="M50" s="45" t="e">
        <f t="shared" si="1"/>
        <v>#REF!</v>
      </c>
      <c r="N50" s="45" t="e">
        <f t="shared" si="2"/>
        <v>#REF!</v>
      </c>
      <c r="O50" s="11" t="e">
        <f t="shared" si="3"/>
        <v>#REF!</v>
      </c>
      <c r="P50" s="74"/>
      <c r="Q50" s="17"/>
      <c r="S50" s="3"/>
    </row>
    <row r="51" spans="1:19" ht="13.5" hidden="1" customHeight="1" x14ac:dyDescent="0.2">
      <c r="A51" s="362"/>
      <c r="B51" s="367" t="e">
        <f>IF('Per6'!B51&lt;&gt;"",'Per6'!B51,"")</f>
        <v>#REF!</v>
      </c>
      <c r="C51" s="367"/>
      <c r="D51" s="129" t="e">
        <f>IF('Per6'!D51&lt;&gt;"",'Per6'!D51,"")</f>
        <v>#REF!</v>
      </c>
      <c r="E51" s="124" t="e">
        <f>'Per6'!E51</f>
        <v>#REF!</v>
      </c>
      <c r="F51" s="54" t="e">
        <f>'Per6'!F51</f>
        <v>#REF!</v>
      </c>
      <c r="G51" s="368" t="e">
        <f>IF(E51="Hourly",ROUND('Per6'!G51*1.03,2),ROUND('Per6'!G51*1.03,0))</f>
        <v>#REF!</v>
      </c>
      <c r="H51" s="369"/>
      <c r="I51" s="8"/>
      <c r="J51" s="59"/>
      <c r="K51" s="9" t="e">
        <f t="shared" si="4"/>
        <v>#REF!</v>
      </c>
      <c r="L51" s="10" t="e">
        <f t="shared" si="0"/>
        <v>#REF!</v>
      </c>
      <c r="M51" s="45" t="e">
        <f t="shared" si="1"/>
        <v>#REF!</v>
      </c>
      <c r="N51" s="45" t="e">
        <f t="shared" si="2"/>
        <v>#REF!</v>
      </c>
      <c r="O51" s="11" t="e">
        <f t="shared" si="3"/>
        <v>#REF!</v>
      </c>
      <c r="P51" s="74"/>
      <c r="Q51" s="17"/>
      <c r="S51" s="3"/>
    </row>
    <row r="52" spans="1:19" ht="13.5" hidden="1" customHeight="1" x14ac:dyDescent="0.2">
      <c r="A52" s="362"/>
      <c r="B52" s="367" t="e">
        <f>IF('Per6'!B52&lt;&gt;"",'Per6'!B52,"")</f>
        <v>#REF!</v>
      </c>
      <c r="C52" s="367"/>
      <c r="D52" s="129" t="e">
        <f>IF('Per6'!D52&lt;&gt;"",'Per6'!D52,"")</f>
        <v>#REF!</v>
      </c>
      <c r="E52" s="124" t="e">
        <f>'Per6'!E52</f>
        <v>#REF!</v>
      </c>
      <c r="F52" s="54" t="e">
        <f>'Per6'!F52</f>
        <v>#REF!</v>
      </c>
      <c r="G52" s="368" t="e">
        <f>IF(E52="Hourly",ROUND('Per6'!G52*1.03,2),ROUND('Per6'!G52*1.03,0))</f>
        <v>#REF!</v>
      </c>
      <c r="H52" s="369"/>
      <c r="I52" s="8"/>
      <c r="J52" s="59"/>
      <c r="K52" s="9" t="e">
        <f t="shared" si="4"/>
        <v>#REF!</v>
      </c>
      <c r="L52" s="10" t="e">
        <f t="shared" si="0"/>
        <v>#REF!</v>
      </c>
      <c r="M52" s="45" t="e">
        <f t="shared" si="1"/>
        <v>#REF!</v>
      </c>
      <c r="N52" s="45" t="e">
        <f t="shared" si="2"/>
        <v>#REF!</v>
      </c>
      <c r="O52" s="11" t="e">
        <f t="shared" si="3"/>
        <v>#REF!</v>
      </c>
      <c r="P52" s="74"/>
      <c r="Q52" s="17"/>
      <c r="S52" s="3"/>
    </row>
    <row r="53" spans="1:19" ht="13.5" hidden="1" customHeight="1" x14ac:dyDescent="0.2">
      <c r="A53" s="362"/>
      <c r="B53" s="367" t="e">
        <f>IF('Per6'!B53&lt;&gt;"",'Per6'!B53,"")</f>
        <v>#REF!</v>
      </c>
      <c r="C53" s="367"/>
      <c r="D53" s="129" t="e">
        <f>IF('Per6'!D53&lt;&gt;"",'Per6'!D53,"")</f>
        <v>#REF!</v>
      </c>
      <c r="E53" s="124" t="e">
        <f>'Per6'!E53</f>
        <v>#REF!</v>
      </c>
      <c r="F53" s="54" t="e">
        <f>'Per6'!F53</f>
        <v>#REF!</v>
      </c>
      <c r="G53" s="368" t="e">
        <f>IF(E53="Hourly",ROUND('Per6'!G53*1.03,2),ROUND('Per6'!G53*1.03,0))</f>
        <v>#REF!</v>
      </c>
      <c r="H53" s="369"/>
      <c r="I53" s="8"/>
      <c r="J53" s="59"/>
      <c r="K53" s="9" t="e">
        <f t="shared" si="4"/>
        <v>#REF!</v>
      </c>
      <c r="L53" s="10" t="e">
        <f t="shared" si="0"/>
        <v>#REF!</v>
      </c>
      <c r="M53" s="45" t="e">
        <f t="shared" si="1"/>
        <v>#REF!</v>
      </c>
      <c r="N53" s="45" t="e">
        <f t="shared" si="2"/>
        <v>#REF!</v>
      </c>
      <c r="O53" s="11" t="e">
        <f t="shared" si="3"/>
        <v>#REF!</v>
      </c>
      <c r="P53" s="74"/>
      <c r="Q53" s="17"/>
      <c r="S53" s="3"/>
    </row>
    <row r="54" spans="1:19" ht="13.5" hidden="1" customHeight="1" x14ac:dyDescent="0.2">
      <c r="A54" s="362"/>
      <c r="B54" s="367" t="e">
        <f>IF('Per6'!B54&lt;&gt;"",'Per6'!B54,"")</f>
        <v>#REF!</v>
      </c>
      <c r="C54" s="367"/>
      <c r="D54" s="129" t="e">
        <f>IF('Per6'!D54&lt;&gt;"",'Per6'!D54,"")</f>
        <v>#REF!</v>
      </c>
      <c r="E54" s="124" t="e">
        <f>'Per6'!E54</f>
        <v>#REF!</v>
      </c>
      <c r="F54" s="54" t="e">
        <f>'Per6'!F54</f>
        <v>#REF!</v>
      </c>
      <c r="G54" s="368" t="e">
        <f>IF(E54="Hourly",ROUND('Per6'!G54*1.03,2),ROUND('Per6'!G54*1.03,0))</f>
        <v>#REF!</v>
      </c>
      <c r="H54" s="369"/>
      <c r="I54" s="8"/>
      <c r="J54" s="59"/>
      <c r="K54" s="9" t="e">
        <f t="shared" si="4"/>
        <v>#REF!</v>
      </c>
      <c r="L54" s="10" t="e">
        <f t="shared" si="0"/>
        <v>#REF!</v>
      </c>
      <c r="M54" s="45" t="e">
        <f t="shared" si="1"/>
        <v>#REF!</v>
      </c>
      <c r="N54" s="45" t="e">
        <f t="shared" si="2"/>
        <v>#REF!</v>
      </c>
      <c r="O54" s="11" t="e">
        <f t="shared" si="3"/>
        <v>#REF!</v>
      </c>
      <c r="P54" s="74"/>
      <c r="Q54" s="17"/>
      <c r="S54" s="3"/>
    </row>
    <row r="55" spans="1:19" ht="13.5" hidden="1" customHeight="1" x14ac:dyDescent="0.2">
      <c r="A55" s="362"/>
      <c r="B55" s="367" t="e">
        <f>IF('Per6'!B55&lt;&gt;"",'Per6'!B55,"")</f>
        <v>#REF!</v>
      </c>
      <c r="C55" s="367"/>
      <c r="D55" s="129" t="e">
        <f>IF('Per6'!D55&lt;&gt;"",'Per6'!D55,"")</f>
        <v>#REF!</v>
      </c>
      <c r="E55" s="124" t="e">
        <f>'Per6'!E55</f>
        <v>#REF!</v>
      </c>
      <c r="F55" s="54" t="e">
        <f>'Per6'!F55</f>
        <v>#REF!</v>
      </c>
      <c r="G55" s="368" t="e">
        <f>IF(E55="Hourly",ROUND('Per6'!G55*1.03,2),ROUND('Per6'!G55*1.03,0))</f>
        <v>#REF!</v>
      </c>
      <c r="H55" s="369"/>
      <c r="I55" s="8"/>
      <c r="J55" s="59"/>
      <c r="K55" s="9" t="e">
        <f t="shared" si="4"/>
        <v>#REF!</v>
      </c>
      <c r="L55" s="10" t="e">
        <f t="shared" si="0"/>
        <v>#REF!</v>
      </c>
      <c r="M55" s="45" t="e">
        <f t="shared" si="1"/>
        <v>#REF!</v>
      </c>
      <c r="N55" s="45" t="e">
        <f t="shared" si="2"/>
        <v>#REF!</v>
      </c>
      <c r="O55" s="11" t="e">
        <f t="shared" si="3"/>
        <v>#REF!</v>
      </c>
      <c r="P55" s="74"/>
      <c r="Q55" s="17"/>
      <c r="S55" s="3"/>
    </row>
    <row r="56" spans="1:19" ht="13.5" hidden="1" customHeight="1" x14ac:dyDescent="0.2">
      <c r="A56" s="362"/>
      <c r="B56" s="367" t="e">
        <f>IF('Per6'!B56&lt;&gt;"",'Per6'!B56,"")</f>
        <v>#REF!</v>
      </c>
      <c r="C56" s="367"/>
      <c r="D56" s="129" t="e">
        <f>IF('Per6'!D56&lt;&gt;"",'Per6'!D56,"")</f>
        <v>#REF!</v>
      </c>
      <c r="E56" s="124" t="e">
        <f>'Per6'!E56</f>
        <v>#REF!</v>
      </c>
      <c r="F56" s="54" t="e">
        <f>'Per6'!F56</f>
        <v>#REF!</v>
      </c>
      <c r="G56" s="368" t="e">
        <f>IF(E56="Hourly",ROUND('Per6'!G56*1.03,2),ROUND('Per6'!G56*1.03,0))</f>
        <v>#REF!</v>
      </c>
      <c r="H56" s="369"/>
      <c r="I56" s="8"/>
      <c r="J56" s="59"/>
      <c r="K56" s="9" t="e">
        <f t="shared" si="4"/>
        <v>#REF!</v>
      </c>
      <c r="L56" s="10" t="e">
        <f t="shared" si="0"/>
        <v>#REF!</v>
      </c>
      <c r="M56" s="45" t="e">
        <f t="shared" si="1"/>
        <v>#REF!</v>
      </c>
      <c r="N56" s="45" t="e">
        <f t="shared" si="2"/>
        <v>#REF!</v>
      </c>
      <c r="O56" s="11" t="e">
        <f t="shared" si="3"/>
        <v>#REF!</v>
      </c>
      <c r="P56" s="74"/>
      <c r="Q56" s="17"/>
      <c r="S56" s="3"/>
    </row>
    <row r="57" spans="1:19" ht="13.5" hidden="1" customHeight="1" x14ac:dyDescent="0.2">
      <c r="A57" s="362"/>
      <c r="B57" s="367" t="e">
        <f>IF('Per6'!B57&lt;&gt;"",'Per6'!B57,"")</f>
        <v>#REF!</v>
      </c>
      <c r="C57" s="367"/>
      <c r="D57" s="129" t="e">
        <f>IF('Per6'!D57&lt;&gt;"",'Per6'!D57,"")</f>
        <v>#REF!</v>
      </c>
      <c r="E57" s="124" t="e">
        <f>'Per6'!E57</f>
        <v>#REF!</v>
      </c>
      <c r="F57" s="54" t="e">
        <f>'Per6'!F57</f>
        <v>#REF!</v>
      </c>
      <c r="G57" s="368" t="e">
        <f>IF(E57="Hourly",ROUND('Per6'!G57*1.03,2),ROUND('Per6'!G57*1.03,0))</f>
        <v>#REF!</v>
      </c>
      <c r="H57" s="369"/>
      <c r="I57" s="8"/>
      <c r="J57" s="59"/>
      <c r="K57" s="9" t="e">
        <f t="shared" si="4"/>
        <v>#REF!</v>
      </c>
      <c r="L57" s="10" t="e">
        <f t="shared" si="0"/>
        <v>#REF!</v>
      </c>
      <c r="M57" s="45" t="e">
        <f t="shared" si="1"/>
        <v>#REF!</v>
      </c>
      <c r="N57" s="45" t="e">
        <f t="shared" si="2"/>
        <v>#REF!</v>
      </c>
      <c r="O57" s="11" t="e">
        <f t="shared" si="3"/>
        <v>#REF!</v>
      </c>
      <c r="P57" s="74"/>
      <c r="Q57" s="17"/>
      <c r="S57" s="3"/>
    </row>
    <row r="58" spans="1:19" ht="13.5" hidden="1" customHeight="1" x14ac:dyDescent="0.2">
      <c r="A58" s="362"/>
      <c r="B58" s="367" t="e">
        <f>IF('Per6'!B58&lt;&gt;"",'Per6'!B58,"")</f>
        <v>#REF!</v>
      </c>
      <c r="C58" s="367"/>
      <c r="D58" s="129" t="e">
        <f>IF('Per6'!D58&lt;&gt;"",'Per6'!D58,"")</f>
        <v>#REF!</v>
      </c>
      <c r="E58" s="124" t="e">
        <f>'Per6'!E58</f>
        <v>#REF!</v>
      </c>
      <c r="F58" s="54" t="e">
        <f>'Per6'!F58</f>
        <v>#REF!</v>
      </c>
      <c r="G58" s="368" t="e">
        <f>IF(E58="Hourly",ROUND('Per6'!G58*1.03,2),ROUND('Per6'!G58*1.03,0))</f>
        <v>#REF!</v>
      </c>
      <c r="H58" s="369"/>
      <c r="I58" s="8"/>
      <c r="J58" s="59"/>
      <c r="K58" s="9" t="e">
        <f t="shared" si="4"/>
        <v>#REF!</v>
      </c>
      <c r="L58" s="10" t="e">
        <f t="shared" si="0"/>
        <v>#REF!</v>
      </c>
      <c r="M58" s="45" t="e">
        <f t="shared" si="1"/>
        <v>#REF!</v>
      </c>
      <c r="N58" s="45" t="e">
        <f t="shared" si="2"/>
        <v>#REF!</v>
      </c>
      <c r="O58" s="11" t="e">
        <f t="shared" si="3"/>
        <v>#REF!</v>
      </c>
      <c r="P58" s="74"/>
      <c r="Q58" s="17"/>
      <c r="S58" s="3"/>
    </row>
    <row r="59" spans="1:19" ht="13.5" hidden="1" customHeight="1" x14ac:dyDescent="0.2">
      <c r="A59" s="362"/>
      <c r="B59" s="367" t="e">
        <f>IF('Per6'!B59&lt;&gt;"",'Per6'!B59,"")</f>
        <v>#REF!</v>
      </c>
      <c r="C59" s="367"/>
      <c r="D59" s="129" t="e">
        <f>IF('Per6'!D59&lt;&gt;"",'Per6'!D59,"")</f>
        <v>#REF!</v>
      </c>
      <c r="E59" s="124" t="e">
        <f>'Per6'!E59</f>
        <v>#REF!</v>
      </c>
      <c r="F59" s="54" t="e">
        <f>'Per6'!F59</f>
        <v>#REF!</v>
      </c>
      <c r="G59" s="368" t="e">
        <f>IF(E59="Hourly",ROUND('Per6'!G59*1.03,2),ROUND('Per6'!G59*1.03,0))</f>
        <v>#REF!</v>
      </c>
      <c r="H59" s="369"/>
      <c r="I59" s="8"/>
      <c r="J59" s="59"/>
      <c r="K59" s="9" t="e">
        <f t="shared" si="4"/>
        <v>#REF!</v>
      </c>
      <c r="L59" s="10" t="e">
        <f t="shared" si="0"/>
        <v>#REF!</v>
      </c>
      <c r="M59" s="45" t="e">
        <f t="shared" si="1"/>
        <v>#REF!</v>
      </c>
      <c r="N59" s="45" t="e">
        <f t="shared" si="2"/>
        <v>#REF!</v>
      </c>
      <c r="O59" s="11" t="e">
        <f t="shared" si="3"/>
        <v>#REF!</v>
      </c>
      <c r="P59" s="74"/>
      <c r="Q59" s="17"/>
      <c r="S59" s="3"/>
    </row>
    <row r="60" spans="1:19" ht="13.5" hidden="1" customHeight="1" x14ac:dyDescent="0.2">
      <c r="A60" s="362"/>
      <c r="B60" s="367" t="e">
        <f>IF('Per6'!B60&lt;&gt;"",'Per6'!B60,"")</f>
        <v>#REF!</v>
      </c>
      <c r="C60" s="367"/>
      <c r="D60" s="129" t="e">
        <f>IF('Per6'!D60&lt;&gt;"",'Per6'!D60,"")</f>
        <v>#REF!</v>
      </c>
      <c r="E60" s="124" t="e">
        <f>'Per6'!E60</f>
        <v>#REF!</v>
      </c>
      <c r="F60" s="54" t="e">
        <f>'Per6'!F60</f>
        <v>#REF!</v>
      </c>
      <c r="G60" s="368" t="e">
        <f>IF(E60="Hourly",ROUND('Per6'!G60*1.03,2),ROUND('Per6'!G60*1.03,0))</f>
        <v>#REF!</v>
      </c>
      <c r="H60" s="369"/>
      <c r="I60" s="8"/>
      <c r="J60" s="59"/>
      <c r="K60" s="9" t="e">
        <f t="shared" si="4"/>
        <v>#REF!</v>
      </c>
      <c r="L60" s="10" t="e">
        <f t="shared" si="0"/>
        <v>#REF!</v>
      </c>
      <c r="M60" s="45" t="e">
        <f t="shared" si="1"/>
        <v>#REF!</v>
      </c>
      <c r="N60" s="45" t="e">
        <f t="shared" si="2"/>
        <v>#REF!</v>
      </c>
      <c r="O60" s="11" t="e">
        <f t="shared" si="3"/>
        <v>#REF!</v>
      </c>
      <c r="P60" s="74"/>
      <c r="Q60" s="17"/>
      <c r="S60" s="3"/>
    </row>
    <row r="61" spans="1:19" ht="13.5" hidden="1" customHeight="1" x14ac:dyDescent="0.2">
      <c r="A61" s="362"/>
      <c r="B61" s="367" t="e">
        <f>IF('Per6'!B61&lt;&gt;"",'Per6'!B61,"")</f>
        <v>#REF!</v>
      </c>
      <c r="C61" s="367"/>
      <c r="D61" s="129" t="e">
        <f>IF('Per6'!D61&lt;&gt;"",'Per6'!D61,"")</f>
        <v>#REF!</v>
      </c>
      <c r="E61" s="124" t="e">
        <f>'Per6'!E61</f>
        <v>#REF!</v>
      </c>
      <c r="F61" s="54" t="e">
        <f>'Per6'!F61</f>
        <v>#REF!</v>
      </c>
      <c r="G61" s="368" t="e">
        <f>IF(E61="Hourly",ROUND('Per6'!G61*1.03,2),ROUND('Per6'!G61*1.03,0))</f>
        <v>#REF!</v>
      </c>
      <c r="H61" s="369"/>
      <c r="I61" s="8"/>
      <c r="J61" s="59"/>
      <c r="K61" s="9" t="e">
        <f t="shared" si="4"/>
        <v>#REF!</v>
      </c>
      <c r="L61" s="10" t="e">
        <f t="shared" si="0"/>
        <v>#REF!</v>
      </c>
      <c r="M61" s="45" t="e">
        <f t="shared" si="1"/>
        <v>#REF!</v>
      </c>
      <c r="N61" s="45" t="e">
        <f t="shared" si="2"/>
        <v>#REF!</v>
      </c>
      <c r="O61" s="11" t="e">
        <f t="shared" si="3"/>
        <v>#REF!</v>
      </c>
      <c r="P61" s="74"/>
      <c r="Q61" s="17"/>
      <c r="S61" s="3"/>
    </row>
    <row r="62" spans="1:19" ht="13.5" hidden="1" customHeight="1" x14ac:dyDescent="0.2">
      <c r="A62" s="362"/>
      <c r="B62" s="367" t="e">
        <f>IF('Per6'!B62&lt;&gt;"",'Per6'!B62,"")</f>
        <v>#REF!</v>
      </c>
      <c r="C62" s="367"/>
      <c r="D62" s="129" t="e">
        <f>IF('Per6'!D62&lt;&gt;"",'Per6'!D62,"")</f>
        <v>#REF!</v>
      </c>
      <c r="E62" s="124" t="e">
        <f>'Per6'!E62</f>
        <v>#REF!</v>
      </c>
      <c r="F62" s="54" t="e">
        <f>'Per6'!F62</f>
        <v>#REF!</v>
      </c>
      <c r="G62" s="368" t="e">
        <f>IF(E62="Hourly",ROUND('Per6'!G62*1.03,2),ROUND('Per6'!G62*1.03,0))</f>
        <v>#REF!</v>
      </c>
      <c r="H62" s="369"/>
      <c r="I62" s="8"/>
      <c r="J62" s="59"/>
      <c r="K62" s="9" t="e">
        <f t="shared" si="4"/>
        <v>#REF!</v>
      </c>
      <c r="L62" s="10" t="e">
        <f t="shared" si="0"/>
        <v>#REF!</v>
      </c>
      <c r="M62" s="45" t="e">
        <f t="shared" si="1"/>
        <v>#REF!</v>
      </c>
      <c r="N62" s="45" t="e">
        <f t="shared" si="2"/>
        <v>#REF!</v>
      </c>
      <c r="O62" s="11" t="e">
        <f t="shared" si="3"/>
        <v>#REF!</v>
      </c>
      <c r="P62" s="74"/>
      <c r="S62" s="3"/>
    </row>
    <row r="63" spans="1:19" ht="13.5" hidden="1" customHeight="1" thickBot="1" x14ac:dyDescent="0.25">
      <c r="A63" s="362"/>
      <c r="B63" s="367" t="e">
        <f>IF('Per6'!B63&lt;&gt;"",'Per6'!B63,"")</f>
        <v>#REF!</v>
      </c>
      <c r="C63" s="367"/>
      <c r="D63" s="129" t="e">
        <f>IF('Per6'!D63&lt;&gt;"",'Per6'!D63,"")</f>
        <v>#REF!</v>
      </c>
      <c r="E63" s="124" t="e">
        <f>'Per6'!E63</f>
        <v>#REF!</v>
      </c>
      <c r="F63" s="54" t="e">
        <f>'Per6'!F63</f>
        <v>#REF!</v>
      </c>
      <c r="G63" s="368" t="e">
        <f>IF(E63="Hourly",ROUND('Per6'!G63*1.03,2),ROUND('Per6'!G63*1.03,0))</f>
        <v>#REF!</v>
      </c>
      <c r="H63" s="369"/>
      <c r="I63" s="8"/>
      <c r="J63" s="59"/>
      <c r="K63" s="9" t="e">
        <f t="shared" si="4"/>
        <v>#REF!</v>
      </c>
      <c r="L63" s="10" t="e">
        <f t="shared" si="0"/>
        <v>#REF!</v>
      </c>
      <c r="M63" s="45" t="e">
        <f t="shared" si="1"/>
        <v>#REF!</v>
      </c>
      <c r="N63" s="45" t="e">
        <f t="shared" si="2"/>
        <v>#REF!</v>
      </c>
      <c r="O63" s="11" t="e">
        <f t="shared" si="3"/>
        <v>#REF!</v>
      </c>
      <c r="P63" s="74"/>
      <c r="S63" s="3"/>
    </row>
    <row r="64" spans="1:19" ht="13.5" customHeight="1" x14ac:dyDescent="0.2">
      <c r="A64" s="362"/>
      <c r="B64" s="372" t="s">
        <v>24</v>
      </c>
      <c r="C64" s="372"/>
      <c r="D64" s="372"/>
      <c r="E64" s="372"/>
      <c r="F64" s="372"/>
      <c r="G64" s="372"/>
      <c r="H64" s="372"/>
      <c r="I64" s="372"/>
      <c r="J64" s="372"/>
      <c r="K64" s="372"/>
      <c r="L64" s="372"/>
      <c r="M64" s="372"/>
      <c r="N64" s="50" t="s">
        <v>0</v>
      </c>
      <c r="O64" s="20">
        <f>SUM(O65:O66)</f>
        <v>0</v>
      </c>
      <c r="P64" s="75"/>
    </row>
    <row r="65" spans="1:17" ht="13.5" customHeight="1" x14ac:dyDescent="0.2">
      <c r="A65" s="362"/>
      <c r="B65" s="367" t="s">
        <v>33</v>
      </c>
      <c r="C65" s="367"/>
      <c r="D65" s="367"/>
      <c r="E65" s="367"/>
      <c r="F65" s="367"/>
      <c r="G65" s="367"/>
      <c r="H65" s="367"/>
      <c r="I65" s="367"/>
      <c r="J65" s="367"/>
      <c r="K65" s="367"/>
      <c r="L65" s="367"/>
      <c r="M65" s="367"/>
      <c r="N65" s="370"/>
      <c r="O65" s="14"/>
      <c r="P65" s="76"/>
    </row>
    <row r="66" spans="1:17" ht="13.5" customHeight="1" thickBot="1" x14ac:dyDescent="0.25">
      <c r="A66" s="362"/>
      <c r="B66" s="367" t="s">
        <v>48</v>
      </c>
      <c r="C66" s="367"/>
      <c r="D66" s="367"/>
      <c r="E66" s="367"/>
      <c r="F66" s="367"/>
      <c r="G66" s="367"/>
      <c r="H66" s="367"/>
      <c r="I66" s="367"/>
      <c r="J66" s="367"/>
      <c r="K66" s="367"/>
      <c r="L66" s="367"/>
      <c r="M66" s="367"/>
      <c r="N66" s="370"/>
      <c r="O66" s="51"/>
      <c r="P66" s="76"/>
    </row>
    <row r="67" spans="1:17" ht="13.5" customHeight="1" x14ac:dyDescent="0.2">
      <c r="A67" s="362"/>
      <c r="B67" s="372" t="s">
        <v>52</v>
      </c>
      <c r="C67" s="372"/>
      <c r="D67" s="372"/>
      <c r="E67" s="372"/>
      <c r="F67" s="372"/>
      <c r="G67" s="372"/>
      <c r="H67" s="372"/>
      <c r="I67" s="372"/>
      <c r="J67" s="372"/>
      <c r="K67" s="372"/>
      <c r="L67" s="372"/>
      <c r="M67" s="372"/>
      <c r="N67" s="50" t="s">
        <v>0</v>
      </c>
      <c r="O67" s="20">
        <f>SUM(O68:O77)</f>
        <v>0</v>
      </c>
      <c r="P67" s="75"/>
    </row>
    <row r="68" spans="1:17" ht="13.5" customHeight="1" x14ac:dyDescent="0.2">
      <c r="A68" s="362"/>
      <c r="B68" s="367" t="s">
        <v>34</v>
      </c>
      <c r="C68" s="367"/>
      <c r="D68" s="367"/>
      <c r="E68" s="367"/>
      <c r="F68" s="367"/>
      <c r="G68" s="367"/>
      <c r="H68" s="367"/>
      <c r="I68" s="367"/>
      <c r="J68" s="367"/>
      <c r="K68" s="367"/>
      <c r="L68" s="367"/>
      <c r="M68" s="367"/>
      <c r="N68" s="370"/>
      <c r="O68" s="14"/>
      <c r="P68" s="76"/>
    </row>
    <row r="69" spans="1:17" ht="13.5" customHeight="1" x14ac:dyDescent="0.2">
      <c r="A69" s="362"/>
      <c r="B69" s="367" t="s">
        <v>44</v>
      </c>
      <c r="C69" s="367"/>
      <c r="D69" s="367"/>
      <c r="E69" s="367"/>
      <c r="F69" s="367"/>
      <c r="G69" s="367"/>
      <c r="H69" s="367"/>
      <c r="I69" s="367"/>
      <c r="J69" s="367"/>
      <c r="K69" s="367"/>
      <c r="L69" s="367"/>
      <c r="M69" s="367"/>
      <c r="N69" s="370"/>
      <c r="O69" s="16"/>
      <c r="P69" s="76"/>
    </row>
    <row r="70" spans="1:17" ht="13.5" customHeight="1" x14ac:dyDescent="0.2">
      <c r="A70" s="362"/>
      <c r="B70" s="367" t="s">
        <v>27</v>
      </c>
      <c r="C70" s="367"/>
      <c r="D70" s="367"/>
      <c r="E70" s="367"/>
      <c r="F70" s="367"/>
      <c r="G70" s="367"/>
      <c r="H70" s="367"/>
      <c r="I70" s="367"/>
      <c r="J70" s="367"/>
      <c r="K70" s="367"/>
      <c r="L70" s="367"/>
      <c r="M70" s="367"/>
      <c r="N70" s="370"/>
      <c r="O70" s="16"/>
      <c r="P70" s="76"/>
    </row>
    <row r="71" spans="1:17" ht="13.5" customHeight="1" x14ac:dyDescent="0.2">
      <c r="A71" s="362"/>
      <c r="B71" s="367" t="s">
        <v>35</v>
      </c>
      <c r="C71" s="367"/>
      <c r="D71" s="367"/>
      <c r="E71" s="367"/>
      <c r="F71" s="367"/>
      <c r="G71" s="367"/>
      <c r="H71" s="367"/>
      <c r="I71" s="367"/>
      <c r="J71" s="367"/>
      <c r="K71" s="367"/>
      <c r="L71" s="367"/>
      <c r="M71" s="367"/>
      <c r="N71" s="370"/>
      <c r="O71" s="16"/>
      <c r="P71" s="76"/>
    </row>
    <row r="72" spans="1:17" ht="13.5" customHeight="1" x14ac:dyDescent="0.2">
      <c r="A72" s="362"/>
      <c r="B72" s="47" t="s">
        <v>49</v>
      </c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8"/>
      <c r="O72" s="16"/>
      <c r="P72" s="76"/>
    </row>
    <row r="73" spans="1:17" ht="13.5" customHeight="1" x14ac:dyDescent="0.2">
      <c r="A73" s="362"/>
      <c r="B73" s="47" t="s">
        <v>50</v>
      </c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8"/>
      <c r="O73" s="16"/>
      <c r="P73" s="76"/>
    </row>
    <row r="74" spans="1:17" ht="13.5" customHeight="1" x14ac:dyDescent="0.2">
      <c r="A74" s="362"/>
      <c r="B74" s="371" t="s">
        <v>181</v>
      </c>
      <c r="C74" s="367"/>
      <c r="D74" s="367"/>
      <c r="E74" s="367"/>
      <c r="F74" s="367"/>
      <c r="G74" s="367"/>
      <c r="H74" s="367"/>
      <c r="I74" s="367"/>
      <c r="J74" s="367"/>
      <c r="K74" s="367"/>
      <c r="L74" s="367"/>
      <c r="M74" s="367"/>
      <c r="N74" s="370"/>
      <c r="O74" s="15"/>
      <c r="P74" s="76"/>
      <c r="Q74" s="17" t="s">
        <v>212</v>
      </c>
    </row>
    <row r="75" spans="1:17" ht="13.5" customHeight="1" x14ac:dyDescent="0.2">
      <c r="A75" s="362"/>
      <c r="B75" s="367" t="s">
        <v>80</v>
      </c>
      <c r="C75" s="367"/>
      <c r="D75" s="367"/>
      <c r="E75" s="367"/>
      <c r="F75" s="367"/>
      <c r="G75" s="367"/>
      <c r="H75" s="367"/>
      <c r="I75" s="367"/>
      <c r="J75" s="367"/>
      <c r="K75" s="367"/>
      <c r="L75" s="367"/>
      <c r="M75" s="367"/>
      <c r="N75" s="370"/>
      <c r="O75" s="15"/>
      <c r="P75" s="76"/>
    </row>
    <row r="76" spans="1:17" ht="13.5" customHeight="1" x14ac:dyDescent="0.2">
      <c r="A76" s="362"/>
      <c r="B76" s="379" t="s">
        <v>76</v>
      </c>
      <c r="C76" s="380"/>
      <c r="D76" s="380"/>
      <c r="E76" s="380"/>
      <c r="F76" s="380"/>
      <c r="G76" s="380"/>
      <c r="H76" s="380"/>
      <c r="I76" s="380"/>
      <c r="J76" s="380"/>
      <c r="K76" s="380"/>
      <c r="L76" s="380"/>
      <c r="M76" s="380"/>
      <c r="N76" s="380"/>
      <c r="O76" s="125"/>
      <c r="P76" s="76"/>
    </row>
    <row r="77" spans="1:17" ht="13.5" customHeight="1" thickBot="1" x14ac:dyDescent="0.25">
      <c r="A77" s="363"/>
      <c r="B77" s="381" t="s">
        <v>188</v>
      </c>
      <c r="C77" s="373"/>
      <c r="D77" s="373"/>
      <c r="E77" s="373"/>
      <c r="F77" s="373"/>
      <c r="G77" s="373"/>
      <c r="H77" s="373"/>
      <c r="I77" s="373"/>
      <c r="J77" s="373"/>
      <c r="K77" s="373"/>
      <c r="L77" s="373"/>
      <c r="M77" s="373"/>
      <c r="N77" s="374"/>
      <c r="O77" s="19"/>
      <c r="P77" s="76"/>
    </row>
    <row r="78" spans="1:17" ht="18" customHeight="1" thickBot="1" x14ac:dyDescent="0.25">
      <c r="A78" s="382"/>
      <c r="B78" s="382"/>
      <c r="C78" s="382"/>
      <c r="D78" s="382"/>
      <c r="E78" s="382"/>
      <c r="F78" s="382"/>
      <c r="G78" s="382"/>
      <c r="H78" s="382"/>
      <c r="I78" s="382"/>
      <c r="J78" s="382"/>
      <c r="K78" s="382"/>
      <c r="L78" s="382"/>
      <c r="M78" s="382"/>
      <c r="N78" s="382"/>
      <c r="O78" s="382"/>
      <c r="P78" s="77"/>
    </row>
    <row r="79" spans="1:17" ht="13.5" customHeight="1" x14ac:dyDescent="0.2">
      <c r="A79" s="361" t="s">
        <v>39</v>
      </c>
      <c r="B79" s="383" t="s">
        <v>64</v>
      </c>
      <c r="C79" s="383"/>
      <c r="D79" s="383"/>
      <c r="E79" s="383"/>
      <c r="F79" s="383"/>
      <c r="G79" s="383"/>
      <c r="H79" s="383"/>
      <c r="I79" s="383"/>
      <c r="J79" s="383"/>
      <c r="K79" s="383"/>
      <c r="L79" s="383"/>
      <c r="M79" s="383"/>
      <c r="N79" s="50" t="s">
        <v>0</v>
      </c>
      <c r="O79" s="20">
        <f>SUM(O80:O82)</f>
        <v>0</v>
      </c>
      <c r="P79" s="75"/>
    </row>
    <row r="80" spans="1:17" ht="13.5" customHeight="1" x14ac:dyDescent="0.2">
      <c r="A80" s="362"/>
      <c r="B80" s="367" t="s">
        <v>16</v>
      </c>
      <c r="C80" s="367"/>
      <c r="D80" s="367"/>
      <c r="E80" s="367"/>
      <c r="F80" s="367"/>
      <c r="G80" s="367"/>
      <c r="H80" s="367"/>
      <c r="I80" s="367"/>
      <c r="J80" s="367"/>
      <c r="K80" s="367"/>
      <c r="L80" s="367"/>
      <c r="M80" s="367"/>
      <c r="N80" s="370"/>
      <c r="O80" s="18"/>
      <c r="P80" s="76"/>
    </row>
    <row r="81" spans="1:17" ht="13.5" customHeight="1" x14ac:dyDescent="0.2">
      <c r="A81" s="362"/>
      <c r="B81" s="367" t="s">
        <v>17</v>
      </c>
      <c r="C81" s="367"/>
      <c r="D81" s="367"/>
      <c r="E81" s="367"/>
      <c r="F81" s="367"/>
      <c r="G81" s="367"/>
      <c r="H81" s="367"/>
      <c r="I81" s="367"/>
      <c r="J81" s="367"/>
      <c r="K81" s="367"/>
      <c r="L81" s="367"/>
      <c r="M81" s="367"/>
      <c r="N81" s="370"/>
      <c r="O81" s="12"/>
      <c r="P81" s="76"/>
    </row>
    <row r="82" spans="1:17" ht="13.5" customHeight="1" thickBot="1" x14ac:dyDescent="0.25">
      <c r="A82" s="362"/>
      <c r="B82" s="373" t="s">
        <v>18</v>
      </c>
      <c r="C82" s="373"/>
      <c r="D82" s="373"/>
      <c r="E82" s="373"/>
      <c r="F82" s="373"/>
      <c r="G82" s="373"/>
      <c r="H82" s="373"/>
      <c r="I82" s="373"/>
      <c r="J82" s="373"/>
      <c r="K82" s="373"/>
      <c r="L82" s="373"/>
      <c r="M82" s="373"/>
      <c r="N82" s="374"/>
      <c r="O82" s="13"/>
      <c r="P82" s="76"/>
    </row>
    <row r="83" spans="1:17" ht="13.5" customHeight="1" x14ac:dyDescent="0.2">
      <c r="A83" s="362"/>
      <c r="B83" s="372" t="s">
        <v>51</v>
      </c>
      <c r="C83" s="372"/>
      <c r="D83" s="372"/>
      <c r="E83" s="372"/>
      <c r="F83" s="372"/>
      <c r="G83" s="372"/>
      <c r="H83" s="372"/>
      <c r="I83" s="372"/>
      <c r="J83" s="372"/>
      <c r="K83" s="372"/>
      <c r="L83" s="372"/>
      <c r="M83" s="372"/>
      <c r="N83" s="50" t="s">
        <v>0</v>
      </c>
      <c r="O83" s="20">
        <f>SUM(O84:O87)</f>
        <v>0</v>
      </c>
      <c r="P83" s="75"/>
    </row>
    <row r="84" spans="1:17" ht="13.5" customHeight="1" x14ac:dyDescent="0.2">
      <c r="A84" s="362"/>
      <c r="B84" s="384" t="s">
        <v>28</v>
      </c>
      <c r="C84" s="384"/>
      <c r="D84" s="384"/>
      <c r="E84" s="384"/>
      <c r="F84" s="384"/>
      <c r="G84" s="384"/>
      <c r="H84" s="384"/>
      <c r="I84" s="384"/>
      <c r="J84" s="384"/>
      <c r="K84" s="384"/>
      <c r="L84" s="384"/>
      <c r="M84" s="384"/>
      <c r="N84" s="385"/>
      <c r="O84" s="14"/>
      <c r="P84" s="76"/>
    </row>
    <row r="85" spans="1:17" ht="13.5" customHeight="1" x14ac:dyDescent="0.2">
      <c r="A85" s="362"/>
      <c r="B85" s="367" t="s">
        <v>29</v>
      </c>
      <c r="C85" s="367"/>
      <c r="D85" s="367"/>
      <c r="E85" s="367"/>
      <c r="F85" s="367"/>
      <c r="G85" s="367"/>
      <c r="H85" s="367"/>
      <c r="I85" s="367"/>
      <c r="J85" s="367"/>
      <c r="K85" s="367"/>
      <c r="L85" s="367"/>
      <c r="M85" s="367"/>
      <c r="N85" s="370"/>
      <c r="O85" s="16"/>
      <c r="P85" s="76"/>
      <c r="Q85" s="17" t="s">
        <v>211</v>
      </c>
    </row>
    <row r="86" spans="1:17" ht="13.5" customHeight="1" x14ac:dyDescent="0.2">
      <c r="A86" s="362"/>
      <c r="B86" s="367" t="s">
        <v>47</v>
      </c>
      <c r="C86" s="367"/>
      <c r="D86" s="367"/>
      <c r="E86" s="367"/>
      <c r="F86" s="367"/>
      <c r="G86" s="367"/>
      <c r="H86" s="367"/>
      <c r="I86" s="367"/>
      <c r="J86" s="367"/>
      <c r="K86" s="367"/>
      <c r="L86" s="367"/>
      <c r="M86" s="367"/>
      <c r="N86" s="370"/>
      <c r="O86" s="16"/>
      <c r="P86" s="76"/>
    </row>
    <row r="87" spans="1:17" ht="13.5" customHeight="1" thickBot="1" x14ac:dyDescent="0.25">
      <c r="A87" s="362"/>
      <c r="B87" s="373" t="s">
        <v>30</v>
      </c>
      <c r="C87" s="373"/>
      <c r="D87" s="373"/>
      <c r="E87" s="373"/>
      <c r="F87" s="373"/>
      <c r="G87" s="373"/>
      <c r="H87" s="373"/>
      <c r="I87" s="373"/>
      <c r="J87" s="373"/>
      <c r="K87" s="373"/>
      <c r="L87" s="373"/>
      <c r="M87" s="373"/>
      <c r="N87" s="374"/>
      <c r="O87" s="19"/>
      <c r="P87" s="76"/>
      <c r="Q87" s="17" t="s">
        <v>213</v>
      </c>
    </row>
    <row r="88" spans="1:17" ht="13.5" customHeight="1" x14ac:dyDescent="0.2">
      <c r="A88" s="362"/>
      <c r="B88" s="375" t="s">
        <v>53</v>
      </c>
      <c r="C88" s="375"/>
      <c r="D88" s="375"/>
      <c r="E88" s="375"/>
      <c r="F88" s="375"/>
      <c r="G88" s="375"/>
      <c r="H88" s="375"/>
      <c r="I88" s="375"/>
      <c r="J88" s="375"/>
      <c r="K88" s="375"/>
      <c r="L88" s="375"/>
      <c r="M88" s="375"/>
      <c r="N88" s="50" t="s">
        <v>0</v>
      </c>
      <c r="O88" s="21">
        <f>SUM(O89:O94)</f>
        <v>0</v>
      </c>
      <c r="P88" s="75"/>
    </row>
    <row r="89" spans="1:17" ht="13.5" customHeight="1" x14ac:dyDescent="0.2">
      <c r="A89" s="362"/>
      <c r="B89" s="376" t="s">
        <v>199</v>
      </c>
      <c r="C89" s="377"/>
      <c r="D89" s="377"/>
      <c r="E89" s="377"/>
      <c r="F89" s="377"/>
      <c r="G89" s="377"/>
      <c r="H89" s="377"/>
      <c r="I89" s="377"/>
      <c r="J89" s="377"/>
      <c r="K89" s="377"/>
      <c r="L89" s="377"/>
      <c r="M89" s="377"/>
      <c r="N89" s="378"/>
      <c r="O89" s="154"/>
      <c r="P89" s="75"/>
      <c r="Q89" s="195" t="s">
        <v>214</v>
      </c>
    </row>
    <row r="90" spans="1:17" ht="13.5" customHeight="1" x14ac:dyDescent="0.2">
      <c r="A90" s="362"/>
      <c r="B90" s="367" t="s">
        <v>54</v>
      </c>
      <c r="C90" s="367"/>
      <c r="D90" s="367"/>
      <c r="E90" s="367"/>
      <c r="F90" s="367"/>
      <c r="G90" s="367"/>
      <c r="H90" s="367"/>
      <c r="I90" s="367"/>
      <c r="J90" s="367"/>
      <c r="K90" s="367"/>
      <c r="L90" s="367"/>
      <c r="M90" s="367"/>
      <c r="N90" s="370"/>
      <c r="O90" s="16"/>
      <c r="P90" s="76"/>
    </row>
    <row r="91" spans="1:17" ht="13.5" customHeight="1" x14ac:dyDescent="0.2">
      <c r="A91" s="362"/>
      <c r="B91" s="367" t="s">
        <v>55</v>
      </c>
      <c r="C91" s="367"/>
      <c r="D91" s="367"/>
      <c r="E91" s="367"/>
      <c r="F91" s="367"/>
      <c r="G91" s="367"/>
      <c r="H91" s="367"/>
      <c r="I91" s="367"/>
      <c r="J91" s="367"/>
      <c r="K91" s="367"/>
      <c r="L91" s="367"/>
      <c r="M91" s="367"/>
      <c r="N91" s="370"/>
      <c r="O91" s="15"/>
      <c r="P91" s="76"/>
    </row>
    <row r="92" spans="1:17" ht="13.5" customHeight="1" x14ac:dyDescent="0.2">
      <c r="A92" s="362"/>
      <c r="B92" s="371" t="s">
        <v>32</v>
      </c>
      <c r="C92" s="367"/>
      <c r="D92" s="367"/>
      <c r="E92" s="367"/>
      <c r="F92" s="367"/>
      <c r="G92" s="367"/>
      <c r="H92" s="367"/>
      <c r="I92" s="367"/>
      <c r="J92" s="367"/>
      <c r="K92" s="367"/>
      <c r="L92" s="367"/>
      <c r="M92" s="367"/>
      <c r="N92" s="370"/>
      <c r="O92" s="15"/>
      <c r="P92" s="76"/>
    </row>
    <row r="93" spans="1:17" ht="13.5" customHeight="1" x14ac:dyDescent="0.2">
      <c r="A93" s="362"/>
      <c r="B93" s="371" t="s">
        <v>81</v>
      </c>
      <c r="C93" s="367"/>
      <c r="D93" s="367"/>
      <c r="E93" s="367"/>
      <c r="F93" s="367"/>
      <c r="G93" s="367"/>
      <c r="H93" s="367"/>
      <c r="I93" s="367"/>
      <c r="J93" s="367"/>
      <c r="K93" s="367"/>
      <c r="L93" s="367"/>
      <c r="M93" s="367"/>
      <c r="N93" s="370"/>
      <c r="O93" s="15"/>
      <c r="P93" s="76"/>
    </row>
    <row r="94" spans="1:17" ht="13.5" customHeight="1" thickBot="1" x14ac:dyDescent="0.25">
      <c r="A94" s="363"/>
      <c r="B94" s="381" t="s">
        <v>188</v>
      </c>
      <c r="C94" s="373"/>
      <c r="D94" s="373"/>
      <c r="E94" s="373"/>
      <c r="F94" s="373"/>
      <c r="G94" s="373"/>
      <c r="H94" s="373"/>
      <c r="I94" s="373"/>
      <c r="J94" s="373"/>
      <c r="K94" s="373"/>
      <c r="L94" s="373"/>
      <c r="M94" s="373"/>
      <c r="N94" s="374"/>
      <c r="O94" s="22"/>
      <c r="P94" s="76"/>
    </row>
    <row r="95" spans="1:17" ht="18" customHeight="1" thickBot="1" x14ac:dyDescent="0.25">
      <c r="A95" s="31"/>
      <c r="B95" s="386"/>
      <c r="C95" s="386"/>
      <c r="D95" s="386"/>
      <c r="E95" s="386"/>
      <c r="F95" s="386"/>
      <c r="G95" s="386"/>
      <c r="H95" s="386"/>
      <c r="I95" s="386"/>
      <c r="J95" s="386"/>
      <c r="K95" s="386"/>
      <c r="L95" s="386"/>
      <c r="M95" s="386"/>
      <c r="N95" s="386"/>
      <c r="O95" s="386"/>
      <c r="P95" s="78"/>
    </row>
    <row r="96" spans="1:17" ht="13.5" customHeight="1" x14ac:dyDescent="0.2">
      <c r="A96" s="361" t="s">
        <v>41</v>
      </c>
      <c r="B96" s="387" t="s">
        <v>42</v>
      </c>
      <c r="C96" s="388"/>
      <c r="D96" s="388"/>
      <c r="E96" s="388"/>
      <c r="F96" s="388"/>
      <c r="G96" s="388"/>
      <c r="H96" s="388"/>
      <c r="I96" s="388"/>
      <c r="J96" s="388"/>
      <c r="K96" s="388"/>
      <c r="L96" s="388"/>
      <c r="M96" s="388"/>
      <c r="N96" s="102" t="s">
        <v>20</v>
      </c>
      <c r="O96" s="103">
        <f>J118</f>
        <v>0</v>
      </c>
      <c r="P96" s="74"/>
    </row>
    <row r="97" spans="1:17" ht="26.25" customHeight="1" x14ac:dyDescent="0.2">
      <c r="A97" s="362"/>
      <c r="B97" s="389" t="s">
        <v>59</v>
      </c>
      <c r="C97" s="49" t="s">
        <v>25</v>
      </c>
      <c r="D97" s="49"/>
      <c r="E97" s="49"/>
      <c r="F97" s="392" t="s">
        <v>177</v>
      </c>
      <c r="G97" s="393"/>
      <c r="H97" s="394" t="s">
        <v>178</v>
      </c>
      <c r="I97" s="394"/>
      <c r="J97" s="134" t="s">
        <v>179</v>
      </c>
      <c r="K97" s="150" t="s">
        <v>197</v>
      </c>
      <c r="L97" s="151" t="s">
        <v>57</v>
      </c>
      <c r="M97" s="44" t="s">
        <v>56</v>
      </c>
      <c r="N97" s="392" t="s">
        <v>180</v>
      </c>
      <c r="O97" s="401"/>
    </row>
    <row r="98" spans="1:17" ht="13.5" customHeight="1" x14ac:dyDescent="0.2">
      <c r="A98" s="362"/>
      <c r="B98" s="390"/>
      <c r="C98" s="395" t="e">
        <f>IF('Per6'!C98&lt;&gt;"",'Per6'!C98,"")</f>
        <v>#REF!</v>
      </c>
      <c r="D98" s="396"/>
      <c r="E98" s="397"/>
      <c r="F98" s="398"/>
      <c r="G98" s="398"/>
      <c r="H98" s="398"/>
      <c r="I98" s="398"/>
      <c r="J98" s="135">
        <f>F98+H98</f>
        <v>0</v>
      </c>
      <c r="K98" s="132" t="e">
        <f>IF((J98+'Period 1'!#REF!+#REF!+#REF!+#REF!+#REF!+'Per6'!J98)&lt;=24999,J98, 25000-'Period 1'!#REF!-#REF!-#REF!-#REF!-#REF!-'Per6'!K98)</f>
        <v>#REF!</v>
      </c>
      <c r="L98" s="32" t="e">
        <f>F98+H98-K98</f>
        <v>#REF!</v>
      </c>
      <c r="M98" s="32" t="e">
        <f>ROUND(IF(($L$7-VLOOKUP($G$120,$I$121:$K$135,3,FALSE))&lt;0,$K98,ROUND((1-($L$7-VLOOKUP($G$120,$I$121:$K$135,3,FALSE))/($L$7 +1 - $L$5))*$K98,0))*M$140,0) +ROUND(IF(($L$7-VLOOKUP($G$120,$I$121:$K$135,3,FALSE))&lt;0,0,ROUND(($L$7-VLOOKUP($G$120,$I$121:$K$135,3,FALSE))/($L$7 +1 - $L$5)*$K98,0))*M$141,0)</f>
        <v>#REF!</v>
      </c>
      <c r="N98" s="399" t="e">
        <f>K98+L98+M98</f>
        <v>#REF!</v>
      </c>
      <c r="O98" s="400"/>
    </row>
    <row r="99" spans="1:17" ht="13.5" customHeight="1" x14ac:dyDescent="0.2">
      <c r="A99" s="362"/>
      <c r="B99" s="390"/>
      <c r="C99" s="395" t="e">
        <f>IF('Per6'!C99&lt;&gt;"",'Per6'!C99,"")</f>
        <v>#REF!</v>
      </c>
      <c r="D99" s="396"/>
      <c r="E99" s="397"/>
      <c r="F99" s="398"/>
      <c r="G99" s="398"/>
      <c r="H99" s="398"/>
      <c r="I99" s="398"/>
      <c r="J99" s="135">
        <f t="shared" ref="J99:J117" si="5">F99+H99</f>
        <v>0</v>
      </c>
      <c r="K99" s="132" t="e">
        <f>IF((J99+'Period 1'!#REF!+#REF!+#REF!+#REF!+#REF!+'Per6'!J99)&lt;=24999,J99, 25000-'Period 1'!#REF!-#REF!-#REF!-#REF!-#REF!-'Per6'!K99)</f>
        <v>#REF!</v>
      </c>
      <c r="L99" s="32" t="e">
        <f>F99+H99-K99</f>
        <v>#REF!</v>
      </c>
      <c r="M99" s="32" t="e">
        <f t="shared" ref="M99:M117" si="6">ROUND(IF(($L$7-VLOOKUP($G$120,$I$121:$K$135,3,FALSE))&lt;0,$K99,ROUND((1-($L$7-VLOOKUP($G$120,$I$121:$K$135,3,FALSE))/($L$7 +1 - $L$5))*$K99,0))*M$140,0) +ROUND(IF(($L$7-VLOOKUP($G$120,$I$121:$K$135,3,FALSE))&lt;0,0,ROUND(($L$7-VLOOKUP($G$120,$I$121:$K$135,3,FALSE))/($L$7 +1 - $L$5)*$K99,0))*M$141,0)</f>
        <v>#REF!</v>
      </c>
      <c r="N99" s="399" t="e">
        <f t="shared" ref="N99:N117" si="7">K99+L99+M99</f>
        <v>#REF!</v>
      </c>
      <c r="O99" s="400"/>
    </row>
    <row r="100" spans="1:17" ht="13.5" customHeight="1" x14ac:dyDescent="0.2">
      <c r="A100" s="362"/>
      <c r="B100" s="390"/>
      <c r="C100" s="395" t="e">
        <f>IF('Per6'!C100&lt;&gt;"",'Per6'!C100,"")</f>
        <v>#REF!</v>
      </c>
      <c r="D100" s="396"/>
      <c r="E100" s="397"/>
      <c r="F100" s="398"/>
      <c r="G100" s="398"/>
      <c r="H100" s="398"/>
      <c r="I100" s="398"/>
      <c r="J100" s="135">
        <f t="shared" si="5"/>
        <v>0</v>
      </c>
      <c r="K100" s="132" t="e">
        <f>IF((J100+'Period 1'!#REF!+#REF!+#REF!+#REF!+#REF!+'Per6'!J100)&lt;=24999,J100, 25000-'Period 1'!#REF!-#REF!-#REF!-#REF!-#REF!-'Per6'!K100)</f>
        <v>#REF!</v>
      </c>
      <c r="L100" s="32" t="e">
        <f>F100+H100-K100</f>
        <v>#REF!</v>
      </c>
      <c r="M100" s="32" t="e">
        <f t="shared" si="6"/>
        <v>#REF!</v>
      </c>
      <c r="N100" s="399" t="e">
        <f t="shared" si="7"/>
        <v>#REF!</v>
      </c>
      <c r="O100" s="400"/>
    </row>
    <row r="101" spans="1:17" ht="13.5" customHeight="1" x14ac:dyDescent="0.2">
      <c r="A101" s="362"/>
      <c r="B101" s="390"/>
      <c r="C101" s="395" t="e">
        <f>IF('Per6'!C101&lt;&gt;"",'Per6'!C101,"")</f>
        <v>#REF!</v>
      </c>
      <c r="D101" s="396"/>
      <c r="E101" s="397"/>
      <c r="F101" s="398"/>
      <c r="G101" s="398"/>
      <c r="H101" s="398"/>
      <c r="I101" s="398"/>
      <c r="J101" s="135">
        <f t="shared" si="5"/>
        <v>0</v>
      </c>
      <c r="K101" s="132" t="e">
        <f>IF((J101+'Period 1'!#REF!+#REF!+#REF!+#REF!+#REF!+'Per6'!J101)&lt;=24999,J101, 25000-'Period 1'!#REF!-#REF!-#REF!-#REF!-#REF!-'Per6'!K101)</f>
        <v>#REF!</v>
      </c>
      <c r="L101" s="32" t="e">
        <f>F101+H101-K101</f>
        <v>#REF!</v>
      </c>
      <c r="M101" s="32" t="e">
        <f t="shared" si="6"/>
        <v>#REF!</v>
      </c>
      <c r="N101" s="399" t="e">
        <f t="shared" si="7"/>
        <v>#REF!</v>
      </c>
      <c r="O101" s="400"/>
    </row>
    <row r="102" spans="1:17" ht="13.5" customHeight="1" thickBot="1" x14ac:dyDescent="0.25">
      <c r="A102" s="362"/>
      <c r="B102" s="390"/>
      <c r="C102" s="395" t="e">
        <f>IF('Per6'!C102&lt;&gt;"",'Per6'!C102,"")</f>
        <v>#REF!</v>
      </c>
      <c r="D102" s="396"/>
      <c r="E102" s="397"/>
      <c r="F102" s="404"/>
      <c r="G102" s="404"/>
      <c r="H102" s="404"/>
      <c r="I102" s="404"/>
      <c r="J102" s="136">
        <f t="shared" si="5"/>
        <v>0</v>
      </c>
      <c r="K102" s="132" t="e">
        <f>IF((J102+'Period 1'!#REF!+#REF!+#REF!+#REF!+#REF!+'Per6'!J102)&lt;=24999,J102, 25000-'Period 1'!#REF!-#REF!-#REF!-#REF!-#REF!-'Per6'!K102)</f>
        <v>#REF!</v>
      </c>
      <c r="L102" s="83" t="e">
        <f>F102+H102-K102</f>
        <v>#REF!</v>
      </c>
      <c r="M102" s="32" t="e">
        <f t="shared" si="6"/>
        <v>#REF!</v>
      </c>
      <c r="N102" s="405" t="e">
        <f t="shared" si="7"/>
        <v>#REF!</v>
      </c>
      <c r="O102" s="406"/>
      <c r="Q102" s="17" t="s">
        <v>215</v>
      </c>
    </row>
    <row r="103" spans="1:17" ht="13.5" hidden="1" customHeight="1" x14ac:dyDescent="0.2">
      <c r="A103" s="362"/>
      <c r="B103" s="390"/>
      <c r="C103" s="395" t="e">
        <f>IF('Per6'!C103&lt;&gt;"",'Per6'!C103,"")</f>
        <v>#REF!</v>
      </c>
      <c r="D103" s="396"/>
      <c r="E103" s="397"/>
      <c r="F103" s="402"/>
      <c r="G103" s="403"/>
      <c r="H103" s="402"/>
      <c r="I103" s="403"/>
      <c r="J103" s="136">
        <f t="shared" si="5"/>
        <v>0</v>
      </c>
      <c r="K103" s="132" t="e">
        <f>IF((J103+'Period 1'!#REF!+#REF!+#REF!+#REF!+#REF!+'Per6'!J103)&lt;=24999,J103, 25000-'Period 1'!#REF!-#REF!-#REF!-#REF!-#REF!-'Per6'!K103)</f>
        <v>#REF!</v>
      </c>
      <c r="L103" s="83" t="e">
        <f t="shared" ref="L103:L117" si="8">F103+H103-K103</f>
        <v>#REF!</v>
      </c>
      <c r="M103" s="32" t="e">
        <f t="shared" si="6"/>
        <v>#REF!</v>
      </c>
      <c r="N103" s="399" t="e">
        <f t="shared" si="7"/>
        <v>#REF!</v>
      </c>
      <c r="O103" s="400"/>
    </row>
    <row r="104" spans="1:17" ht="13.5" hidden="1" customHeight="1" x14ac:dyDescent="0.2">
      <c r="A104" s="362"/>
      <c r="B104" s="390"/>
      <c r="C104" s="395" t="e">
        <f>IF('Per6'!C104&lt;&gt;"",'Per6'!C104,"")</f>
        <v>#REF!</v>
      </c>
      <c r="D104" s="396"/>
      <c r="E104" s="397"/>
      <c r="F104" s="402"/>
      <c r="G104" s="403"/>
      <c r="H104" s="402"/>
      <c r="I104" s="403"/>
      <c r="J104" s="136">
        <f t="shared" si="5"/>
        <v>0</v>
      </c>
      <c r="K104" s="132" t="e">
        <f>IF((J104+'Period 1'!#REF!+#REF!+#REF!+#REF!+#REF!+'Per6'!J104)&lt;=24999,J104, 25000-'Period 1'!#REF!-#REF!-#REF!-#REF!-#REF!-'Per6'!K104)</f>
        <v>#REF!</v>
      </c>
      <c r="L104" s="83" t="e">
        <f t="shared" si="8"/>
        <v>#REF!</v>
      </c>
      <c r="M104" s="32" t="e">
        <f t="shared" si="6"/>
        <v>#REF!</v>
      </c>
      <c r="N104" s="399" t="e">
        <f t="shared" si="7"/>
        <v>#REF!</v>
      </c>
      <c r="O104" s="400"/>
    </row>
    <row r="105" spans="1:17" ht="13.5" hidden="1" customHeight="1" x14ac:dyDescent="0.2">
      <c r="A105" s="362"/>
      <c r="B105" s="390"/>
      <c r="C105" s="395" t="e">
        <f>IF('Per6'!C105&lt;&gt;"",'Per6'!C105,"")</f>
        <v>#REF!</v>
      </c>
      <c r="D105" s="396"/>
      <c r="E105" s="397"/>
      <c r="F105" s="402"/>
      <c r="G105" s="403"/>
      <c r="H105" s="402"/>
      <c r="I105" s="403"/>
      <c r="J105" s="136">
        <f t="shared" si="5"/>
        <v>0</v>
      </c>
      <c r="K105" s="132" t="e">
        <f>IF((J105+'Period 1'!#REF!+#REF!+#REF!+#REF!+#REF!+'Per6'!J105)&lt;=24999,J105, 25000-'Period 1'!#REF!-#REF!-#REF!-#REF!-#REF!-'Per6'!K105)</f>
        <v>#REF!</v>
      </c>
      <c r="L105" s="83" t="e">
        <f t="shared" si="8"/>
        <v>#REF!</v>
      </c>
      <c r="M105" s="32" t="e">
        <f t="shared" si="6"/>
        <v>#REF!</v>
      </c>
      <c r="N105" s="399" t="e">
        <f t="shared" si="7"/>
        <v>#REF!</v>
      </c>
      <c r="O105" s="400"/>
    </row>
    <row r="106" spans="1:17" ht="13.5" hidden="1" customHeight="1" x14ac:dyDescent="0.2">
      <c r="A106" s="362"/>
      <c r="B106" s="390"/>
      <c r="C106" s="395" t="e">
        <f>IF('Per6'!C106&lt;&gt;"",'Per6'!C106,"")</f>
        <v>#REF!</v>
      </c>
      <c r="D106" s="396"/>
      <c r="E106" s="397"/>
      <c r="F106" s="402"/>
      <c r="G106" s="403"/>
      <c r="H106" s="402"/>
      <c r="I106" s="403"/>
      <c r="J106" s="136">
        <f t="shared" si="5"/>
        <v>0</v>
      </c>
      <c r="K106" s="132" t="e">
        <f>IF((J106+'Period 1'!#REF!+#REF!+#REF!+#REF!+#REF!+'Per6'!J106)&lt;=24999,J106, 25000-'Period 1'!#REF!-#REF!-#REF!-#REF!-#REF!-'Per6'!K106)</f>
        <v>#REF!</v>
      </c>
      <c r="L106" s="83" t="e">
        <f t="shared" si="8"/>
        <v>#REF!</v>
      </c>
      <c r="M106" s="32" t="e">
        <f t="shared" si="6"/>
        <v>#REF!</v>
      </c>
      <c r="N106" s="399" t="e">
        <f t="shared" si="7"/>
        <v>#REF!</v>
      </c>
      <c r="O106" s="400"/>
    </row>
    <row r="107" spans="1:17" ht="13.5" hidden="1" customHeight="1" x14ac:dyDescent="0.2">
      <c r="A107" s="362"/>
      <c r="B107" s="390"/>
      <c r="C107" s="395" t="e">
        <f>IF('Per6'!C107&lt;&gt;"",'Per6'!C107,"")</f>
        <v>#REF!</v>
      </c>
      <c r="D107" s="396"/>
      <c r="E107" s="397"/>
      <c r="F107" s="402"/>
      <c r="G107" s="403"/>
      <c r="H107" s="402"/>
      <c r="I107" s="403"/>
      <c r="J107" s="136">
        <f t="shared" si="5"/>
        <v>0</v>
      </c>
      <c r="K107" s="132" t="e">
        <f>IF((J107+'Period 1'!#REF!+#REF!+#REF!+#REF!+#REF!+'Per6'!J107)&lt;=24999,J107, 25000-'Period 1'!#REF!-#REF!-#REF!-#REF!-#REF!-'Per6'!K107)</f>
        <v>#REF!</v>
      </c>
      <c r="L107" s="83" t="e">
        <f t="shared" si="8"/>
        <v>#REF!</v>
      </c>
      <c r="M107" s="32" t="e">
        <f t="shared" si="6"/>
        <v>#REF!</v>
      </c>
      <c r="N107" s="399" t="e">
        <f t="shared" si="7"/>
        <v>#REF!</v>
      </c>
      <c r="O107" s="400"/>
    </row>
    <row r="108" spans="1:17" ht="13.5" hidden="1" customHeight="1" x14ac:dyDescent="0.2">
      <c r="A108" s="362"/>
      <c r="B108" s="390"/>
      <c r="C108" s="395" t="e">
        <f>IF('Per6'!C108&lt;&gt;"",'Per6'!C108,"")</f>
        <v>#REF!</v>
      </c>
      <c r="D108" s="396"/>
      <c r="E108" s="397"/>
      <c r="F108" s="402"/>
      <c r="G108" s="403"/>
      <c r="H108" s="402"/>
      <c r="I108" s="403"/>
      <c r="J108" s="136">
        <f t="shared" si="5"/>
        <v>0</v>
      </c>
      <c r="K108" s="132" t="e">
        <f>IF((J108+'Period 1'!#REF!+#REF!+#REF!+#REF!+#REF!+'Per6'!J108)&lt;=24999,J108, 25000-'Period 1'!#REF!-#REF!-#REF!-#REF!-#REF!-'Per6'!K108)</f>
        <v>#REF!</v>
      </c>
      <c r="L108" s="83" t="e">
        <f t="shared" si="8"/>
        <v>#REF!</v>
      </c>
      <c r="M108" s="32" t="e">
        <f t="shared" si="6"/>
        <v>#REF!</v>
      </c>
      <c r="N108" s="399" t="e">
        <f t="shared" si="7"/>
        <v>#REF!</v>
      </c>
      <c r="O108" s="400"/>
    </row>
    <row r="109" spans="1:17" ht="13.5" hidden="1" customHeight="1" x14ac:dyDescent="0.2">
      <c r="A109" s="362"/>
      <c r="B109" s="390"/>
      <c r="C109" s="395" t="e">
        <f>IF('Per6'!C109&lt;&gt;"",'Per6'!C109,"")</f>
        <v>#REF!</v>
      </c>
      <c r="D109" s="396"/>
      <c r="E109" s="397"/>
      <c r="F109" s="402"/>
      <c r="G109" s="403"/>
      <c r="H109" s="402"/>
      <c r="I109" s="403"/>
      <c r="J109" s="136">
        <f t="shared" si="5"/>
        <v>0</v>
      </c>
      <c r="K109" s="132" t="e">
        <f>IF((J109+'Period 1'!#REF!+#REF!+#REF!+#REF!+#REF!+'Per6'!J109)&lt;=24999,J109, 25000-'Period 1'!#REF!-#REF!-#REF!-#REF!-#REF!-'Per6'!K109)</f>
        <v>#REF!</v>
      </c>
      <c r="L109" s="83" t="e">
        <f t="shared" si="8"/>
        <v>#REF!</v>
      </c>
      <c r="M109" s="32" t="e">
        <f t="shared" si="6"/>
        <v>#REF!</v>
      </c>
      <c r="N109" s="399" t="e">
        <f t="shared" si="7"/>
        <v>#REF!</v>
      </c>
      <c r="O109" s="400"/>
    </row>
    <row r="110" spans="1:17" ht="13.5" hidden="1" customHeight="1" x14ac:dyDescent="0.2">
      <c r="A110" s="362"/>
      <c r="B110" s="390"/>
      <c r="C110" s="395" t="e">
        <f>IF('Per6'!C110&lt;&gt;"",'Per6'!C110,"")</f>
        <v>#REF!</v>
      </c>
      <c r="D110" s="396"/>
      <c r="E110" s="397"/>
      <c r="F110" s="402"/>
      <c r="G110" s="403"/>
      <c r="H110" s="402"/>
      <c r="I110" s="403"/>
      <c r="J110" s="136">
        <f t="shared" si="5"/>
        <v>0</v>
      </c>
      <c r="K110" s="132" t="e">
        <f>IF((J110+'Period 1'!#REF!+#REF!+#REF!+#REF!+#REF!+'Per6'!J110)&lt;=24999,J110, 25000-'Period 1'!#REF!-#REF!-#REF!-#REF!-#REF!-'Per6'!K110)</f>
        <v>#REF!</v>
      </c>
      <c r="L110" s="83" t="e">
        <f t="shared" si="8"/>
        <v>#REF!</v>
      </c>
      <c r="M110" s="32" t="e">
        <f t="shared" si="6"/>
        <v>#REF!</v>
      </c>
      <c r="N110" s="399" t="e">
        <f t="shared" si="7"/>
        <v>#REF!</v>
      </c>
      <c r="O110" s="400"/>
    </row>
    <row r="111" spans="1:17" ht="13.5" hidden="1" customHeight="1" x14ac:dyDescent="0.2">
      <c r="A111" s="362"/>
      <c r="B111" s="390"/>
      <c r="C111" s="395" t="e">
        <f>IF('Per6'!C111&lt;&gt;"",'Per6'!C111,"")</f>
        <v>#REF!</v>
      </c>
      <c r="D111" s="396"/>
      <c r="E111" s="397"/>
      <c r="F111" s="402"/>
      <c r="G111" s="403"/>
      <c r="H111" s="402"/>
      <c r="I111" s="403"/>
      <c r="J111" s="136">
        <f t="shared" si="5"/>
        <v>0</v>
      </c>
      <c r="K111" s="132" t="e">
        <f>IF((J111+'Period 1'!#REF!+#REF!+#REF!+#REF!+#REF!+'Per6'!J111)&lt;=24999,J111, 25000-'Period 1'!#REF!-#REF!-#REF!-#REF!-#REF!-'Per6'!K111)</f>
        <v>#REF!</v>
      </c>
      <c r="L111" s="83" t="e">
        <f t="shared" si="8"/>
        <v>#REF!</v>
      </c>
      <c r="M111" s="32" t="e">
        <f t="shared" si="6"/>
        <v>#REF!</v>
      </c>
      <c r="N111" s="399" t="e">
        <f t="shared" si="7"/>
        <v>#REF!</v>
      </c>
      <c r="O111" s="400"/>
    </row>
    <row r="112" spans="1:17" ht="13.5" hidden="1" customHeight="1" x14ac:dyDescent="0.2">
      <c r="A112" s="362"/>
      <c r="B112" s="390"/>
      <c r="C112" s="395" t="e">
        <f>IF('Per6'!C112&lt;&gt;"",'Per6'!C112,"")</f>
        <v>#REF!</v>
      </c>
      <c r="D112" s="396"/>
      <c r="E112" s="397"/>
      <c r="F112" s="402"/>
      <c r="G112" s="403"/>
      <c r="H112" s="402"/>
      <c r="I112" s="403"/>
      <c r="J112" s="136">
        <f t="shared" si="5"/>
        <v>0</v>
      </c>
      <c r="K112" s="132" t="e">
        <f>IF((J112+'Period 1'!#REF!+#REF!+#REF!+#REF!+#REF!+'Per6'!J112)&lt;=24999,J112, 25000-'Period 1'!#REF!-#REF!-#REF!-#REF!-#REF!-'Per6'!K112)</f>
        <v>#REF!</v>
      </c>
      <c r="L112" s="83" t="e">
        <f t="shared" si="8"/>
        <v>#REF!</v>
      </c>
      <c r="M112" s="32" t="e">
        <f t="shared" si="6"/>
        <v>#REF!</v>
      </c>
      <c r="N112" s="399" t="e">
        <f t="shared" si="7"/>
        <v>#REF!</v>
      </c>
      <c r="O112" s="400"/>
    </row>
    <row r="113" spans="1:16" ht="13.5" hidden="1" customHeight="1" x14ac:dyDescent="0.2">
      <c r="A113" s="362"/>
      <c r="B113" s="390"/>
      <c r="C113" s="395" t="e">
        <f>IF('Per6'!C113&lt;&gt;"",'Per6'!C113,"")</f>
        <v>#REF!</v>
      </c>
      <c r="D113" s="396"/>
      <c r="E113" s="397"/>
      <c r="F113" s="402"/>
      <c r="G113" s="403"/>
      <c r="H113" s="402"/>
      <c r="I113" s="403"/>
      <c r="J113" s="136">
        <f t="shared" si="5"/>
        <v>0</v>
      </c>
      <c r="K113" s="132" t="e">
        <f>IF((J113+'Period 1'!#REF!+#REF!+#REF!+#REF!+#REF!+'Per6'!J113)&lt;=24999,J113, 25000-'Period 1'!#REF!-#REF!-#REF!-#REF!-#REF!-'Per6'!K113)</f>
        <v>#REF!</v>
      </c>
      <c r="L113" s="83" t="e">
        <f t="shared" si="8"/>
        <v>#REF!</v>
      </c>
      <c r="M113" s="32" t="e">
        <f t="shared" si="6"/>
        <v>#REF!</v>
      </c>
      <c r="N113" s="399" t="e">
        <f t="shared" si="7"/>
        <v>#REF!</v>
      </c>
      <c r="O113" s="400"/>
    </row>
    <row r="114" spans="1:16" ht="13.5" hidden="1" customHeight="1" x14ac:dyDescent="0.2">
      <c r="A114" s="362"/>
      <c r="B114" s="390"/>
      <c r="C114" s="395" t="e">
        <f>IF('Per6'!C114&lt;&gt;"",'Per6'!C114,"")</f>
        <v>#REF!</v>
      </c>
      <c r="D114" s="396"/>
      <c r="E114" s="397"/>
      <c r="F114" s="402"/>
      <c r="G114" s="403"/>
      <c r="H114" s="402"/>
      <c r="I114" s="403"/>
      <c r="J114" s="136">
        <f t="shared" si="5"/>
        <v>0</v>
      </c>
      <c r="K114" s="132" t="e">
        <f>IF((J114+'Period 1'!#REF!+#REF!+#REF!+#REF!+#REF!+'Per6'!J114)&lt;=24999,J114, 25000-'Period 1'!#REF!-#REF!-#REF!-#REF!-#REF!-'Per6'!K114)</f>
        <v>#REF!</v>
      </c>
      <c r="L114" s="83" t="e">
        <f t="shared" si="8"/>
        <v>#REF!</v>
      </c>
      <c r="M114" s="32" t="e">
        <f t="shared" si="6"/>
        <v>#REF!</v>
      </c>
      <c r="N114" s="399" t="e">
        <f t="shared" si="7"/>
        <v>#REF!</v>
      </c>
      <c r="O114" s="400"/>
    </row>
    <row r="115" spans="1:16" ht="13.5" hidden="1" customHeight="1" x14ac:dyDescent="0.2">
      <c r="A115" s="362"/>
      <c r="B115" s="390"/>
      <c r="C115" s="395" t="e">
        <f>IF('Per6'!C115&lt;&gt;"",'Per6'!C115,"")</f>
        <v>#REF!</v>
      </c>
      <c r="D115" s="396"/>
      <c r="E115" s="397"/>
      <c r="F115" s="402"/>
      <c r="G115" s="403"/>
      <c r="H115" s="402"/>
      <c r="I115" s="403"/>
      <c r="J115" s="136">
        <f t="shared" si="5"/>
        <v>0</v>
      </c>
      <c r="K115" s="132" t="e">
        <f>IF((J115+'Period 1'!#REF!+#REF!+#REF!+#REF!+#REF!+'Per6'!J115)&lt;=24999,J115, 25000-'Period 1'!#REF!-#REF!-#REF!-#REF!-#REF!-'Per6'!K115)</f>
        <v>#REF!</v>
      </c>
      <c r="L115" s="83" t="e">
        <f t="shared" si="8"/>
        <v>#REF!</v>
      </c>
      <c r="M115" s="32" t="e">
        <f t="shared" si="6"/>
        <v>#REF!</v>
      </c>
      <c r="N115" s="399" t="e">
        <f t="shared" si="7"/>
        <v>#REF!</v>
      </c>
      <c r="O115" s="400"/>
    </row>
    <row r="116" spans="1:16" ht="13.5" hidden="1" customHeight="1" x14ac:dyDescent="0.2">
      <c r="A116" s="362"/>
      <c r="B116" s="390"/>
      <c r="C116" s="395" t="e">
        <f>IF('Per6'!C116&lt;&gt;"",'Per6'!C116,"")</f>
        <v>#REF!</v>
      </c>
      <c r="D116" s="396"/>
      <c r="E116" s="397"/>
      <c r="F116" s="402"/>
      <c r="G116" s="403"/>
      <c r="H116" s="402"/>
      <c r="I116" s="403"/>
      <c r="J116" s="136">
        <f t="shared" si="5"/>
        <v>0</v>
      </c>
      <c r="K116" s="132" t="e">
        <f>IF((J116+'Period 1'!#REF!+#REF!+#REF!+#REF!+#REF!+'Per6'!J116)&lt;=24999,J116, 25000-'Period 1'!#REF!-#REF!-#REF!-#REF!-#REF!-'Per6'!K116)</f>
        <v>#REF!</v>
      </c>
      <c r="L116" s="83" t="e">
        <f t="shared" si="8"/>
        <v>#REF!</v>
      </c>
      <c r="M116" s="32" t="e">
        <f t="shared" si="6"/>
        <v>#REF!</v>
      </c>
      <c r="N116" s="399" t="e">
        <f t="shared" si="7"/>
        <v>#REF!</v>
      </c>
      <c r="O116" s="400"/>
    </row>
    <row r="117" spans="1:16" ht="13.5" hidden="1" customHeight="1" thickBot="1" x14ac:dyDescent="0.25">
      <c r="A117" s="362"/>
      <c r="B117" s="390"/>
      <c r="C117" s="395" t="e">
        <f>IF('Per6'!C117&lt;&gt;"",'Per6'!C117,"")</f>
        <v>#REF!</v>
      </c>
      <c r="D117" s="396"/>
      <c r="E117" s="397"/>
      <c r="F117" s="402"/>
      <c r="G117" s="403"/>
      <c r="H117" s="402"/>
      <c r="I117" s="403"/>
      <c r="J117" s="136">
        <f t="shared" si="5"/>
        <v>0</v>
      </c>
      <c r="K117" s="132" t="e">
        <f>IF((J117+'Period 1'!#REF!+#REF!+#REF!+#REF!+#REF!+'Per6'!J117)&lt;=24999,J117, 25000-'Period 1'!#REF!-#REF!-#REF!-#REF!-#REF!-'Per6'!K117)</f>
        <v>#REF!</v>
      </c>
      <c r="L117" s="83" t="e">
        <f t="shared" si="8"/>
        <v>#REF!</v>
      </c>
      <c r="M117" s="32" t="e">
        <f t="shared" si="6"/>
        <v>#REF!</v>
      </c>
      <c r="N117" s="407" t="e">
        <f t="shared" si="7"/>
        <v>#REF!</v>
      </c>
      <c r="O117" s="408"/>
    </row>
    <row r="118" spans="1:16" ht="13.5" customHeight="1" thickBot="1" x14ac:dyDescent="0.25">
      <c r="A118" s="363"/>
      <c r="B118" s="391"/>
      <c r="C118" s="421" t="s">
        <v>21</v>
      </c>
      <c r="D118" s="421"/>
      <c r="E118" s="422"/>
      <c r="F118" s="423">
        <f>SUM(F98:G117)</f>
        <v>0</v>
      </c>
      <c r="G118" s="423"/>
      <c r="H118" s="423">
        <f>SUM(H98:I117)</f>
        <v>0</v>
      </c>
      <c r="I118" s="423"/>
      <c r="J118" s="137">
        <f>SUM(J98:J117)</f>
        <v>0</v>
      </c>
      <c r="K118" s="133" t="e">
        <f>SUM(K98:K117)</f>
        <v>#REF!</v>
      </c>
      <c r="L118" s="33" t="e">
        <f>SUM(L98:L117)</f>
        <v>#REF!</v>
      </c>
      <c r="M118" s="84" t="e">
        <f>SUM(M98:M117)</f>
        <v>#REF!</v>
      </c>
      <c r="N118" s="158"/>
      <c r="O118" s="159"/>
    </row>
    <row r="119" spans="1:16" ht="18" hidden="1" customHeight="1" thickBot="1" x14ac:dyDescent="0.25">
      <c r="A119" s="424"/>
      <c r="B119" s="424"/>
      <c r="C119" s="424"/>
      <c r="D119" s="424"/>
      <c r="E119" s="424"/>
      <c r="F119" s="424"/>
      <c r="G119" s="424"/>
      <c r="H119" s="424"/>
      <c r="I119" s="424"/>
      <c r="J119" s="424"/>
      <c r="K119" s="424"/>
      <c r="L119" s="424"/>
      <c r="M119" s="424"/>
      <c r="N119" s="382"/>
      <c r="O119" s="382"/>
      <c r="P119" s="77"/>
    </row>
    <row r="120" spans="1:16" ht="18" hidden="1" customHeight="1" x14ac:dyDescent="0.2">
      <c r="A120" s="211"/>
      <c r="B120" s="211"/>
      <c r="C120" s="211"/>
      <c r="D120" s="211"/>
      <c r="E120" s="211"/>
      <c r="F120" s="212" t="s">
        <v>229</v>
      </c>
      <c r="G120" s="211" t="e">
        <f>IF(MONTH(L5)&lt;9,YEAR(L5),YEAR(L5)+1)</f>
        <v>#REF!</v>
      </c>
      <c r="H120" s="211"/>
      <c r="I120" s="212" t="s">
        <v>230</v>
      </c>
      <c r="J120" s="212" t="s">
        <v>227</v>
      </c>
      <c r="K120" s="212" t="s">
        <v>228</v>
      </c>
      <c r="L120" s="211"/>
      <c r="M120" s="211"/>
      <c r="N120" s="211"/>
      <c r="O120" s="211"/>
      <c r="P120" s="77"/>
    </row>
    <row r="121" spans="1:16" ht="18" hidden="1" customHeight="1" x14ac:dyDescent="0.2">
      <c r="A121" s="211"/>
      <c r="B121" s="211"/>
      <c r="C121" s="211"/>
      <c r="D121" s="211"/>
      <c r="E121" s="211"/>
      <c r="F121" s="211"/>
      <c r="G121" s="211"/>
      <c r="H121" s="211"/>
      <c r="I121" s="211">
        <v>2018</v>
      </c>
      <c r="J121" s="211">
        <v>0.47</v>
      </c>
      <c r="K121" s="209">
        <f>DATE(I121,8,31)</f>
        <v>43343</v>
      </c>
      <c r="L121" s="211"/>
      <c r="M121" s="211"/>
      <c r="N121" s="211"/>
      <c r="O121" s="211"/>
      <c r="P121" s="77"/>
    </row>
    <row r="122" spans="1:16" ht="18" hidden="1" customHeight="1" x14ac:dyDescent="0.2">
      <c r="A122" s="211"/>
      <c r="B122" s="211"/>
      <c r="C122" s="211"/>
      <c r="D122" s="211"/>
      <c r="E122" s="211"/>
      <c r="F122" s="211"/>
      <c r="G122" s="211"/>
      <c r="H122" s="211"/>
      <c r="I122" s="211">
        <v>2019</v>
      </c>
      <c r="J122" s="211">
        <v>0.49</v>
      </c>
      <c r="K122" s="209">
        <f t="shared" ref="K122:K135" si="9">DATE(I122,8,31)</f>
        <v>43708</v>
      </c>
      <c r="L122" s="211"/>
      <c r="M122" s="211"/>
      <c r="N122" s="211"/>
      <c r="O122" s="211"/>
      <c r="P122" s="77"/>
    </row>
    <row r="123" spans="1:16" ht="18" hidden="1" customHeight="1" x14ac:dyDescent="0.2">
      <c r="A123" s="211"/>
      <c r="B123" s="211"/>
      <c r="C123" s="211"/>
      <c r="D123" s="211"/>
      <c r="E123" s="211"/>
      <c r="F123" s="211"/>
      <c r="G123" s="211"/>
      <c r="H123" s="211"/>
      <c r="I123" s="211">
        <v>2020</v>
      </c>
      <c r="J123" s="211">
        <v>0.495</v>
      </c>
      <c r="K123" s="209">
        <f t="shared" si="9"/>
        <v>44074</v>
      </c>
      <c r="L123" s="211"/>
      <c r="M123" s="211"/>
      <c r="N123" s="211"/>
      <c r="O123" s="211"/>
      <c r="P123" s="77"/>
    </row>
    <row r="124" spans="1:16" ht="18" hidden="1" customHeight="1" x14ac:dyDescent="0.2">
      <c r="A124" s="211"/>
      <c r="B124" s="211"/>
      <c r="C124" s="211"/>
      <c r="D124" s="211"/>
      <c r="E124" s="211"/>
      <c r="F124" s="211"/>
      <c r="G124" s="211"/>
      <c r="H124" s="211"/>
      <c r="I124" s="211">
        <v>2021</v>
      </c>
      <c r="J124" s="211">
        <v>0.5</v>
      </c>
      <c r="K124" s="209">
        <f t="shared" si="9"/>
        <v>44439</v>
      </c>
      <c r="L124" s="211"/>
      <c r="M124" s="211"/>
      <c r="N124" s="211"/>
      <c r="O124" s="211"/>
      <c r="P124" s="77"/>
    </row>
    <row r="125" spans="1:16" ht="18" hidden="1" customHeight="1" x14ac:dyDescent="0.2">
      <c r="A125" s="211"/>
      <c r="B125" s="211"/>
      <c r="C125" s="211"/>
      <c r="D125" s="211"/>
      <c r="E125" s="211"/>
      <c r="F125" s="211"/>
      <c r="G125" s="211"/>
      <c r="H125" s="211"/>
      <c r="I125" s="211">
        <v>2022</v>
      </c>
      <c r="J125" s="211">
        <v>0.5</v>
      </c>
      <c r="K125" s="209">
        <f t="shared" si="9"/>
        <v>44804</v>
      </c>
      <c r="L125" s="211"/>
      <c r="M125" s="211"/>
      <c r="N125" s="211"/>
      <c r="O125" s="211"/>
      <c r="P125" s="77"/>
    </row>
    <row r="126" spans="1:16" ht="18" hidden="1" customHeight="1" x14ac:dyDescent="0.2">
      <c r="A126" s="211"/>
      <c r="B126" s="211"/>
      <c r="C126" s="211"/>
      <c r="D126" s="211"/>
      <c r="E126" s="211"/>
      <c r="F126" s="211"/>
      <c r="G126" s="211"/>
      <c r="H126" s="211"/>
      <c r="I126" s="211">
        <v>2023</v>
      </c>
      <c r="J126" s="211">
        <v>0.5</v>
      </c>
      <c r="K126" s="209">
        <f t="shared" si="9"/>
        <v>45169</v>
      </c>
      <c r="L126" s="211"/>
      <c r="M126" s="211"/>
      <c r="N126" s="211"/>
      <c r="O126" s="211"/>
      <c r="P126" s="77"/>
    </row>
    <row r="127" spans="1:16" ht="18" hidden="1" customHeight="1" x14ac:dyDescent="0.2">
      <c r="A127" s="211"/>
      <c r="B127" s="211"/>
      <c r="C127" s="211"/>
      <c r="D127" s="211"/>
      <c r="E127" s="211"/>
      <c r="F127" s="211"/>
      <c r="G127" s="211"/>
      <c r="H127" s="211"/>
      <c r="I127" s="211">
        <v>2024</v>
      </c>
      <c r="J127" s="211">
        <v>0.5</v>
      </c>
      <c r="K127" s="209">
        <f t="shared" si="9"/>
        <v>45535</v>
      </c>
      <c r="L127" s="211"/>
      <c r="M127" s="211"/>
      <c r="N127" s="211"/>
      <c r="O127" s="211"/>
      <c r="P127" s="77"/>
    </row>
    <row r="128" spans="1:16" ht="18" hidden="1" customHeight="1" x14ac:dyDescent="0.2">
      <c r="A128" s="211"/>
      <c r="B128" s="211"/>
      <c r="C128" s="211"/>
      <c r="D128" s="211"/>
      <c r="E128" s="211"/>
      <c r="F128" s="211"/>
      <c r="G128" s="211"/>
      <c r="H128" s="211"/>
      <c r="I128" s="211">
        <v>2025</v>
      </c>
      <c r="J128" s="211">
        <v>0.5</v>
      </c>
      <c r="K128" s="209">
        <f t="shared" si="9"/>
        <v>45900</v>
      </c>
      <c r="L128" s="211"/>
      <c r="M128" s="211"/>
      <c r="N128" s="211"/>
      <c r="O128" s="211"/>
      <c r="P128" s="77"/>
    </row>
    <row r="129" spans="1:16" ht="18" hidden="1" customHeight="1" x14ac:dyDescent="0.2">
      <c r="A129" s="211"/>
      <c r="B129" s="211"/>
      <c r="C129" s="211"/>
      <c r="D129" s="211"/>
      <c r="E129" s="211"/>
      <c r="F129" s="211"/>
      <c r="G129" s="211"/>
      <c r="H129" s="211"/>
      <c r="I129" s="211">
        <v>2026</v>
      </c>
      <c r="J129" s="211">
        <v>0.5</v>
      </c>
      <c r="K129" s="209">
        <f t="shared" si="9"/>
        <v>46265</v>
      </c>
      <c r="L129" s="211"/>
      <c r="M129" s="211"/>
      <c r="N129" s="211"/>
      <c r="O129" s="211"/>
      <c r="P129" s="77"/>
    </row>
    <row r="130" spans="1:16" ht="18" hidden="1" customHeight="1" x14ac:dyDescent="0.2">
      <c r="A130" s="211"/>
      <c r="B130" s="211"/>
      <c r="C130" s="211"/>
      <c r="D130" s="211"/>
      <c r="E130" s="211"/>
      <c r="F130" s="211"/>
      <c r="G130" s="211"/>
      <c r="H130" s="211"/>
      <c r="I130" s="211">
        <v>2027</v>
      </c>
      <c r="J130" s="211">
        <v>0.5</v>
      </c>
      <c r="K130" s="209">
        <f t="shared" si="9"/>
        <v>46630</v>
      </c>
      <c r="L130" s="211"/>
      <c r="M130" s="211"/>
      <c r="N130" s="211"/>
      <c r="O130" s="211"/>
      <c r="P130" s="77"/>
    </row>
    <row r="131" spans="1:16" ht="18" hidden="1" customHeight="1" x14ac:dyDescent="0.2">
      <c r="A131" s="211"/>
      <c r="B131" s="211"/>
      <c r="C131" s="211"/>
      <c r="D131" s="211"/>
      <c r="E131" s="211"/>
      <c r="F131" s="211"/>
      <c r="G131" s="211"/>
      <c r="H131" s="211"/>
      <c r="I131" s="211">
        <v>2028</v>
      </c>
      <c r="J131" s="211">
        <v>0.5</v>
      </c>
      <c r="K131" s="209">
        <f t="shared" si="9"/>
        <v>46996</v>
      </c>
      <c r="L131" s="211"/>
      <c r="M131" s="211"/>
      <c r="N131" s="211"/>
      <c r="O131" s="211"/>
      <c r="P131" s="77"/>
    </row>
    <row r="132" spans="1:16" ht="18" hidden="1" customHeight="1" x14ac:dyDescent="0.2">
      <c r="A132" s="211"/>
      <c r="B132" s="211"/>
      <c r="C132" s="211"/>
      <c r="D132" s="211"/>
      <c r="E132" s="211"/>
      <c r="F132" s="211"/>
      <c r="G132" s="211"/>
      <c r="H132" s="211"/>
      <c r="I132" s="211">
        <v>2029</v>
      </c>
      <c r="J132" s="211">
        <v>0.5</v>
      </c>
      <c r="K132" s="209">
        <f t="shared" si="9"/>
        <v>47361</v>
      </c>
      <c r="L132" s="211"/>
      <c r="M132" s="211"/>
      <c r="N132" s="211"/>
      <c r="O132" s="211"/>
      <c r="P132" s="77"/>
    </row>
    <row r="133" spans="1:16" ht="18" hidden="1" customHeight="1" x14ac:dyDescent="0.2">
      <c r="A133" s="211"/>
      <c r="B133" s="211"/>
      <c r="C133" s="211"/>
      <c r="D133" s="211"/>
      <c r="E133" s="211"/>
      <c r="F133" s="211"/>
      <c r="G133" s="211"/>
      <c r="H133" s="211"/>
      <c r="I133" s="211">
        <v>2030</v>
      </c>
      <c r="J133" s="211">
        <v>0.5</v>
      </c>
      <c r="K133" s="209">
        <f t="shared" si="9"/>
        <v>47726</v>
      </c>
      <c r="L133" s="211"/>
      <c r="M133" s="211"/>
      <c r="N133" s="211"/>
      <c r="O133" s="211"/>
      <c r="P133" s="77"/>
    </row>
    <row r="134" spans="1:16" ht="18" hidden="1" customHeight="1" x14ac:dyDescent="0.2">
      <c r="A134" s="211"/>
      <c r="B134" s="211"/>
      <c r="C134" s="211"/>
      <c r="D134" s="211"/>
      <c r="E134" s="211"/>
      <c r="F134" s="211"/>
      <c r="G134" s="211"/>
      <c r="H134" s="211"/>
      <c r="I134" s="211">
        <v>2031</v>
      </c>
      <c r="J134" s="211">
        <v>0.5</v>
      </c>
      <c r="K134" s="209">
        <f t="shared" si="9"/>
        <v>48091</v>
      </c>
      <c r="L134" s="211"/>
      <c r="M134" s="211"/>
      <c r="N134" s="211"/>
      <c r="O134" s="211"/>
      <c r="P134" s="77"/>
    </row>
    <row r="135" spans="1:16" ht="18" hidden="1" customHeight="1" x14ac:dyDescent="0.2">
      <c r="A135" s="211"/>
      <c r="B135" s="211"/>
      <c r="C135" s="211"/>
      <c r="D135" s="211"/>
      <c r="E135" s="211"/>
      <c r="F135" s="211"/>
      <c r="G135" s="211"/>
      <c r="H135" s="211"/>
      <c r="I135" s="211">
        <v>2032</v>
      </c>
      <c r="J135" s="211">
        <v>0.5</v>
      </c>
      <c r="K135" s="209">
        <f t="shared" si="9"/>
        <v>48457</v>
      </c>
      <c r="L135" s="211"/>
      <c r="M135" s="211"/>
      <c r="N135" s="211"/>
      <c r="O135" s="211"/>
      <c r="P135" s="77"/>
    </row>
    <row r="136" spans="1:16" ht="18" customHeight="1" thickBot="1" x14ac:dyDescent="0.25">
      <c r="A136" s="211"/>
      <c r="B136" s="211"/>
      <c r="C136" s="211"/>
      <c r="D136" s="211"/>
      <c r="E136" s="211"/>
      <c r="F136" s="211"/>
      <c r="G136" s="211"/>
      <c r="H136" s="211"/>
      <c r="I136" s="211"/>
      <c r="J136" s="211"/>
      <c r="K136" s="211"/>
      <c r="L136" s="211"/>
      <c r="M136" s="211"/>
      <c r="N136" s="211"/>
      <c r="O136" s="211"/>
      <c r="P136" s="77"/>
    </row>
    <row r="137" spans="1:16" ht="13.5" customHeight="1" x14ac:dyDescent="0.2">
      <c r="A137" s="361" t="s">
        <v>63</v>
      </c>
      <c r="B137" s="425" t="s">
        <v>78</v>
      </c>
      <c r="C137" s="426"/>
      <c r="D137" s="426"/>
      <c r="E137" s="426"/>
      <c r="F137" s="427"/>
      <c r="G137" s="437" t="s">
        <v>43</v>
      </c>
      <c r="H137" s="438"/>
      <c r="I137" s="438"/>
      <c r="J137" s="438"/>
      <c r="K137" s="439"/>
      <c r="L137" s="428" t="s">
        <v>79</v>
      </c>
      <c r="M137" s="429"/>
      <c r="N137" s="430"/>
      <c r="O137" s="23" t="e">
        <f>O148-H118</f>
        <v>#REF!</v>
      </c>
      <c r="P137" s="79"/>
    </row>
    <row r="138" spans="1:16" ht="13.5" customHeight="1" x14ac:dyDescent="0.2">
      <c r="A138" s="362"/>
      <c r="B138" s="431" t="s">
        <v>37</v>
      </c>
      <c r="C138" s="432"/>
      <c r="D138" s="432"/>
      <c r="E138" s="432"/>
      <c r="F138" s="433"/>
      <c r="G138" s="440"/>
      <c r="H138" s="441"/>
      <c r="I138" s="441"/>
      <c r="J138" s="441"/>
      <c r="K138" s="442"/>
      <c r="L138" s="434" t="s">
        <v>19</v>
      </c>
      <c r="M138" s="435"/>
      <c r="N138" s="436"/>
      <c r="O138" s="24">
        <f>H118</f>
        <v>0</v>
      </c>
      <c r="P138" s="79"/>
    </row>
    <row r="139" spans="1:16" ht="13.5" customHeight="1" x14ac:dyDescent="0.2">
      <c r="A139" s="362"/>
      <c r="B139" s="210"/>
      <c r="C139" s="208" t="s">
        <v>226</v>
      </c>
      <c r="D139" s="208"/>
      <c r="E139" s="208"/>
      <c r="F139" s="205">
        <v>0.47</v>
      </c>
      <c r="G139" s="440"/>
      <c r="H139" s="441"/>
      <c r="I139" s="441"/>
      <c r="J139" s="441"/>
      <c r="K139" s="442"/>
      <c r="L139" s="418" t="s">
        <v>40</v>
      </c>
      <c r="M139" s="419"/>
      <c r="N139" s="420"/>
      <c r="O139" s="25" t="e">
        <f>O148-O83-O79-O88-O96+K118</f>
        <v>#REF!</v>
      </c>
      <c r="P139" s="79"/>
    </row>
    <row r="140" spans="1:16" ht="13.5" customHeight="1" x14ac:dyDescent="0.3">
      <c r="A140" s="362"/>
      <c r="B140" s="210"/>
      <c r="C140" s="208" t="s">
        <v>221</v>
      </c>
      <c r="D140" s="208"/>
      <c r="E140" s="208"/>
      <c r="F140" s="205">
        <v>0.49</v>
      </c>
      <c r="G140" s="440"/>
      <c r="H140" s="441"/>
      <c r="I140" s="441"/>
      <c r="J140" s="441"/>
      <c r="K140" s="442"/>
      <c r="L140" s="199" t="s">
        <v>217</v>
      </c>
      <c r="M140" s="202" t="e">
        <f>VLOOKUP($G$120,$I$121:$J$135,2,FALSE)</f>
        <v>#REF!</v>
      </c>
      <c r="N140" s="203" t="s">
        <v>224</v>
      </c>
      <c r="O140" s="25" t="e">
        <f>IF($L$7-VLOOKUP($G$120,$I$121:$K$135,3,FALSE)&lt;0,$O$139,ROUND((1-($L$7-VLOOKUP($G$120,$I$121:$K$135,3,FALSE))/($L$7+1-$L$5))*$O$139,0))</f>
        <v>#REF!</v>
      </c>
      <c r="P140" s="80"/>
    </row>
    <row r="141" spans="1:16" ht="13.5" customHeight="1" x14ac:dyDescent="0.3">
      <c r="A141" s="362"/>
      <c r="B141" s="210"/>
      <c r="C141" s="208" t="s">
        <v>222</v>
      </c>
      <c r="D141" s="208"/>
      <c r="E141" s="208"/>
      <c r="F141" s="206">
        <v>0.495</v>
      </c>
      <c r="G141" s="440"/>
      <c r="H141" s="441"/>
      <c r="I141" s="441"/>
      <c r="J141" s="441"/>
      <c r="K141" s="442"/>
      <c r="L141" s="200" t="s">
        <v>218</v>
      </c>
      <c r="M141" s="202" t="e">
        <f>VLOOKUP($G$120+1,$I$121:$J$135,2,FALSE)</f>
        <v>#REF!</v>
      </c>
      <c r="N141" s="203" t="s">
        <v>225</v>
      </c>
      <c r="O141" s="25" t="e">
        <f>O139-O140</f>
        <v>#REF!</v>
      </c>
      <c r="P141" s="80"/>
    </row>
    <row r="142" spans="1:16" ht="13.5" customHeight="1" x14ac:dyDescent="0.3">
      <c r="A142" s="362"/>
      <c r="B142" s="207"/>
      <c r="C142" s="208" t="s">
        <v>223</v>
      </c>
      <c r="D142" s="208"/>
      <c r="E142" s="208"/>
      <c r="F142" s="205">
        <v>0.5</v>
      </c>
      <c r="G142" s="440"/>
      <c r="H142" s="441"/>
      <c r="I142" s="441"/>
      <c r="J142" s="441"/>
      <c r="K142" s="442"/>
      <c r="L142" s="446" t="s">
        <v>219</v>
      </c>
      <c r="M142" s="447"/>
      <c r="N142" s="448"/>
      <c r="O142" s="201" t="e">
        <f>ROUND(M140*O140,0)</f>
        <v>#REF!</v>
      </c>
      <c r="P142" s="80"/>
    </row>
    <row r="143" spans="1:16" ht="13.5" customHeight="1" x14ac:dyDescent="0.3">
      <c r="A143" s="362"/>
      <c r="B143" s="207"/>
      <c r="C143" s="208" t="s">
        <v>231</v>
      </c>
      <c r="D143" s="208"/>
      <c r="E143" s="208"/>
      <c r="F143" s="205">
        <v>0.5</v>
      </c>
      <c r="G143" s="443"/>
      <c r="H143" s="444"/>
      <c r="I143" s="444"/>
      <c r="J143" s="444"/>
      <c r="K143" s="445"/>
      <c r="L143" s="449" t="s">
        <v>220</v>
      </c>
      <c r="M143" s="450"/>
      <c r="N143" s="451"/>
      <c r="O143" s="204" t="e">
        <f>ROUND(M141*O141,0)</f>
        <v>#REF!</v>
      </c>
      <c r="P143" s="80"/>
    </row>
    <row r="144" spans="1:16" ht="13.5" customHeight="1" x14ac:dyDescent="0.2">
      <c r="A144" s="362"/>
      <c r="B144" s="207"/>
      <c r="C144" s="213" t="s">
        <v>232</v>
      </c>
      <c r="D144" s="208"/>
      <c r="E144" s="208"/>
      <c r="F144" s="205">
        <v>0.36</v>
      </c>
      <c r="G144" s="452" t="s">
        <v>175</v>
      </c>
      <c r="H144" s="453"/>
      <c r="I144" s="453"/>
      <c r="J144" s="453"/>
      <c r="K144" s="453"/>
      <c r="L144" s="453"/>
      <c r="M144" s="453"/>
      <c r="N144" s="453"/>
      <c r="O144" s="454"/>
      <c r="P144" s="65"/>
    </row>
    <row r="145" spans="1:17" ht="13.5" customHeight="1" x14ac:dyDescent="0.2">
      <c r="A145" s="362"/>
      <c r="B145" s="431" t="s">
        <v>36</v>
      </c>
      <c r="C145" s="432"/>
      <c r="D145" s="432"/>
      <c r="E145" s="432"/>
      <c r="F145" s="433"/>
      <c r="G145" s="455"/>
      <c r="H145" s="456"/>
      <c r="I145" s="456"/>
      <c r="J145" s="456"/>
      <c r="K145" s="456"/>
      <c r="L145" s="456"/>
      <c r="M145" s="456"/>
      <c r="N145" s="456"/>
      <c r="O145" s="457"/>
      <c r="P145" s="65"/>
    </row>
    <row r="146" spans="1:17" ht="14.25" customHeight="1" thickBot="1" x14ac:dyDescent="0.25">
      <c r="A146" s="363"/>
      <c r="B146" s="207"/>
      <c r="C146" s="208" t="s">
        <v>233</v>
      </c>
      <c r="D146" s="208"/>
      <c r="E146" s="208"/>
      <c r="F146" s="205">
        <v>0.26</v>
      </c>
      <c r="G146" s="458"/>
      <c r="H146" s="459"/>
      <c r="I146" s="459"/>
      <c r="J146" s="459"/>
      <c r="K146" s="459"/>
      <c r="L146" s="459"/>
      <c r="M146" s="459"/>
      <c r="N146" s="459"/>
      <c r="O146" s="460"/>
      <c r="P146" s="65"/>
    </row>
    <row r="147" spans="1:17" ht="18" customHeight="1" thickBot="1" x14ac:dyDescent="0.25">
      <c r="A147" s="295"/>
      <c r="B147" s="295"/>
      <c r="C147" s="295"/>
      <c r="D147" s="295"/>
      <c r="E147" s="295"/>
      <c r="F147" s="295"/>
      <c r="G147" s="295"/>
      <c r="H147" s="295"/>
      <c r="I147" s="295"/>
      <c r="J147" s="295"/>
      <c r="K147" s="295"/>
      <c r="L147" s="295"/>
      <c r="M147" s="295"/>
      <c r="N147" s="295"/>
      <c r="O147" s="295"/>
      <c r="P147" s="77"/>
    </row>
    <row r="148" spans="1:17" ht="17.100000000000001" customHeight="1" x14ac:dyDescent="0.25">
      <c r="A148" s="296" t="s">
        <v>45</v>
      </c>
      <c r="B148" s="297"/>
      <c r="C148" s="302" t="s">
        <v>23</v>
      </c>
      <c r="D148" s="303"/>
      <c r="E148" s="303"/>
      <c r="F148" s="306"/>
      <c r="G148" s="307"/>
      <c r="H148" s="29"/>
      <c r="I148" s="310" t="s">
        <v>62</v>
      </c>
      <c r="J148" s="313" t="str">
        <f>K3</f>
        <v>Period 7</v>
      </c>
      <c r="K148" s="412" t="s">
        <v>61</v>
      </c>
      <c r="L148" s="413"/>
      <c r="M148" s="413"/>
      <c r="N148" s="414"/>
      <c r="O148" s="26" t="e">
        <f>O35+O79+O64+O83+O67+O96+O88</f>
        <v>#REF!</v>
      </c>
      <c r="P148" s="81"/>
    </row>
    <row r="149" spans="1:17" ht="17.100000000000001" customHeight="1" x14ac:dyDescent="0.25">
      <c r="A149" s="298"/>
      <c r="B149" s="299"/>
      <c r="C149" s="304"/>
      <c r="D149" s="305"/>
      <c r="E149" s="305"/>
      <c r="F149" s="308"/>
      <c r="G149" s="309"/>
      <c r="H149" s="30"/>
      <c r="I149" s="311"/>
      <c r="J149" s="314"/>
      <c r="K149" s="415" t="s">
        <v>186</v>
      </c>
      <c r="L149" s="416"/>
      <c r="M149" s="416"/>
      <c r="N149" s="417"/>
      <c r="O149" s="27" t="e">
        <f>O142+O143</f>
        <v>#REF!</v>
      </c>
      <c r="P149" s="81"/>
      <c r="Q149" s="55"/>
    </row>
    <row r="150" spans="1:17" ht="17.100000000000001" customHeight="1" thickBot="1" x14ac:dyDescent="0.3">
      <c r="A150" s="300"/>
      <c r="B150" s="301"/>
      <c r="C150" s="316" t="s">
        <v>22</v>
      </c>
      <c r="D150" s="317"/>
      <c r="E150" s="318"/>
      <c r="F150" s="319" t="e">
        <f>IF(O151&lt;&gt;0,F148/O151,"-")</f>
        <v>#REF!</v>
      </c>
      <c r="G150" s="320"/>
      <c r="H150" s="29"/>
      <c r="I150" s="311"/>
      <c r="J150" s="314"/>
      <c r="K150" s="321" t="s">
        <v>46</v>
      </c>
      <c r="L150" s="322"/>
      <c r="M150" s="322"/>
      <c r="N150" s="323"/>
      <c r="O150" s="27" t="e">
        <f>O148+O149</f>
        <v>#REF!</v>
      </c>
      <c r="P150" s="81"/>
    </row>
    <row r="151" spans="1:17" ht="17.100000000000001" customHeight="1" thickBot="1" x14ac:dyDescent="0.3">
      <c r="A151" s="324"/>
      <c r="B151" s="324"/>
      <c r="C151" s="324"/>
      <c r="D151" s="324"/>
      <c r="E151" s="324"/>
      <c r="F151" s="324"/>
      <c r="G151" s="324"/>
      <c r="H151" s="325"/>
      <c r="I151" s="312"/>
      <c r="J151" s="315"/>
      <c r="K151" s="326" t="s">
        <v>58</v>
      </c>
      <c r="L151" s="327"/>
      <c r="M151" s="327"/>
      <c r="N151" s="328"/>
      <c r="O151" s="28" t="e">
        <f>O150+F148</f>
        <v>#REF!</v>
      </c>
      <c r="P151" s="81"/>
    </row>
    <row r="159" spans="1:17" x14ac:dyDescent="0.2">
      <c r="Q159" s="55"/>
    </row>
  </sheetData>
  <sheetProtection insertRows="0"/>
  <mergeCells count="220">
    <mergeCell ref="B35:J35"/>
    <mergeCell ref="K35:L35"/>
    <mergeCell ref="K148:N148"/>
    <mergeCell ref="K149:N149"/>
    <mergeCell ref="L139:N139"/>
    <mergeCell ref="C118:E118"/>
    <mergeCell ref="F118:G118"/>
    <mergeCell ref="H118:I118"/>
    <mergeCell ref="A119:O119"/>
    <mergeCell ref="B137:F137"/>
    <mergeCell ref="L137:N137"/>
    <mergeCell ref="B138:F138"/>
    <mergeCell ref="L138:N138"/>
    <mergeCell ref="A137:A146"/>
    <mergeCell ref="G137:K143"/>
    <mergeCell ref="L142:N142"/>
    <mergeCell ref="L143:N143"/>
    <mergeCell ref="G144:O146"/>
    <mergeCell ref="B145:F145"/>
    <mergeCell ref="C116:E116"/>
    <mergeCell ref="F116:G116"/>
    <mergeCell ref="H116:I116"/>
    <mergeCell ref="N116:O116"/>
    <mergeCell ref="C117:E117"/>
    <mergeCell ref="F117:G117"/>
    <mergeCell ref="H117:I117"/>
    <mergeCell ref="N117:O117"/>
    <mergeCell ref="C114:E114"/>
    <mergeCell ref="F114:G114"/>
    <mergeCell ref="H114:I114"/>
    <mergeCell ref="N114:O114"/>
    <mergeCell ref="C115:E115"/>
    <mergeCell ref="F115:G115"/>
    <mergeCell ref="H115:I115"/>
    <mergeCell ref="N115:O115"/>
    <mergeCell ref="C112:E112"/>
    <mergeCell ref="F112:G112"/>
    <mergeCell ref="H112:I112"/>
    <mergeCell ref="N112:O112"/>
    <mergeCell ref="C113:E113"/>
    <mergeCell ref="F113:G113"/>
    <mergeCell ref="H113:I113"/>
    <mergeCell ref="N113:O113"/>
    <mergeCell ref="C110:E110"/>
    <mergeCell ref="F110:G110"/>
    <mergeCell ref="H110:I110"/>
    <mergeCell ref="N110:O110"/>
    <mergeCell ref="C111:E111"/>
    <mergeCell ref="F111:G111"/>
    <mergeCell ref="H111:I111"/>
    <mergeCell ref="N111:O111"/>
    <mergeCell ref="C108:E108"/>
    <mergeCell ref="F108:G108"/>
    <mergeCell ref="H108:I108"/>
    <mergeCell ref="N108:O108"/>
    <mergeCell ref="C109:E109"/>
    <mergeCell ref="F109:G109"/>
    <mergeCell ref="H109:I109"/>
    <mergeCell ref="N109:O109"/>
    <mergeCell ref="C106:E106"/>
    <mergeCell ref="F106:G106"/>
    <mergeCell ref="H106:I106"/>
    <mergeCell ref="N106:O106"/>
    <mergeCell ref="C107:E107"/>
    <mergeCell ref="F107:G107"/>
    <mergeCell ref="H107:I107"/>
    <mergeCell ref="N107:O107"/>
    <mergeCell ref="F104:G104"/>
    <mergeCell ref="H104:I104"/>
    <mergeCell ref="N104:O104"/>
    <mergeCell ref="C105:E105"/>
    <mergeCell ref="F105:G105"/>
    <mergeCell ref="H105:I105"/>
    <mergeCell ref="N105:O105"/>
    <mergeCell ref="C102:E102"/>
    <mergeCell ref="F102:G102"/>
    <mergeCell ref="H102:I102"/>
    <mergeCell ref="N102:O102"/>
    <mergeCell ref="C103:E103"/>
    <mergeCell ref="F103:G103"/>
    <mergeCell ref="H103:I103"/>
    <mergeCell ref="N103:O103"/>
    <mergeCell ref="B95:O95"/>
    <mergeCell ref="A96:A118"/>
    <mergeCell ref="B96:M96"/>
    <mergeCell ref="B97:B118"/>
    <mergeCell ref="F97:G97"/>
    <mergeCell ref="H97:I97"/>
    <mergeCell ref="C100:E100"/>
    <mergeCell ref="F100:G100"/>
    <mergeCell ref="H100:I100"/>
    <mergeCell ref="N100:O100"/>
    <mergeCell ref="C101:E101"/>
    <mergeCell ref="F101:G101"/>
    <mergeCell ref="H101:I101"/>
    <mergeCell ref="N101:O101"/>
    <mergeCell ref="N97:O97"/>
    <mergeCell ref="C98:E98"/>
    <mergeCell ref="F98:G98"/>
    <mergeCell ref="H98:I98"/>
    <mergeCell ref="N98:O98"/>
    <mergeCell ref="C99:E99"/>
    <mergeCell ref="F99:G99"/>
    <mergeCell ref="H99:I99"/>
    <mergeCell ref="N99:O99"/>
    <mergeCell ref="C104:E104"/>
    <mergeCell ref="B85:N85"/>
    <mergeCell ref="B86:N86"/>
    <mergeCell ref="B87:N87"/>
    <mergeCell ref="B88:M88"/>
    <mergeCell ref="B89:N89"/>
    <mergeCell ref="B90:N90"/>
    <mergeCell ref="B76:N76"/>
    <mergeCell ref="B77:N77"/>
    <mergeCell ref="A78:O78"/>
    <mergeCell ref="A79:A94"/>
    <mergeCell ref="B79:M79"/>
    <mergeCell ref="B80:N80"/>
    <mergeCell ref="B81:N81"/>
    <mergeCell ref="B82:N82"/>
    <mergeCell ref="B83:M83"/>
    <mergeCell ref="B84:N84"/>
    <mergeCell ref="B91:N91"/>
    <mergeCell ref="B92:N92"/>
    <mergeCell ref="B93:N93"/>
    <mergeCell ref="B94:N94"/>
    <mergeCell ref="B68:N68"/>
    <mergeCell ref="B69:N69"/>
    <mergeCell ref="B70:N70"/>
    <mergeCell ref="B71:N71"/>
    <mergeCell ref="B74:N74"/>
    <mergeCell ref="B75:N75"/>
    <mergeCell ref="B64:M64"/>
    <mergeCell ref="B65:N65"/>
    <mergeCell ref="B66:N66"/>
    <mergeCell ref="B67:M67"/>
    <mergeCell ref="B61:C61"/>
    <mergeCell ref="G61:H61"/>
    <mergeCell ref="B62:C62"/>
    <mergeCell ref="G62:H62"/>
    <mergeCell ref="B63:C63"/>
    <mergeCell ref="G63:H63"/>
    <mergeCell ref="B58:C58"/>
    <mergeCell ref="G58:H58"/>
    <mergeCell ref="B59:C59"/>
    <mergeCell ref="G59:H59"/>
    <mergeCell ref="B60:C60"/>
    <mergeCell ref="G60:H60"/>
    <mergeCell ref="B55:C55"/>
    <mergeCell ref="G55:H55"/>
    <mergeCell ref="B56:C56"/>
    <mergeCell ref="G56:H56"/>
    <mergeCell ref="B57:C57"/>
    <mergeCell ref="G57:H57"/>
    <mergeCell ref="B52:C52"/>
    <mergeCell ref="G52:H52"/>
    <mergeCell ref="B53:C53"/>
    <mergeCell ref="G53:H53"/>
    <mergeCell ref="B54:C54"/>
    <mergeCell ref="G54:H54"/>
    <mergeCell ref="B50:C50"/>
    <mergeCell ref="G50:H50"/>
    <mergeCell ref="B51:C51"/>
    <mergeCell ref="G51:H51"/>
    <mergeCell ref="B46:C46"/>
    <mergeCell ref="G46:H46"/>
    <mergeCell ref="B47:C47"/>
    <mergeCell ref="G47:H47"/>
    <mergeCell ref="B48:C48"/>
    <mergeCell ref="G48:H48"/>
    <mergeCell ref="A34:O34"/>
    <mergeCell ref="A35:A77"/>
    <mergeCell ref="B36:C36"/>
    <mergeCell ref="G36:H36"/>
    <mergeCell ref="B37:C37"/>
    <mergeCell ref="G37:H37"/>
    <mergeCell ref="B38:C38"/>
    <mergeCell ref="G38:H38"/>
    <mergeCell ref="B39:C39"/>
    <mergeCell ref="B43:C43"/>
    <mergeCell ref="G43:H43"/>
    <mergeCell ref="B44:C44"/>
    <mergeCell ref="G44:H44"/>
    <mergeCell ref="B45:C45"/>
    <mergeCell ref="G45:H45"/>
    <mergeCell ref="G39:H39"/>
    <mergeCell ref="B40:C40"/>
    <mergeCell ref="G40:H40"/>
    <mergeCell ref="B41:C41"/>
    <mergeCell ref="G41:H41"/>
    <mergeCell ref="B42:C42"/>
    <mergeCell ref="G42:H42"/>
    <mergeCell ref="B49:C49"/>
    <mergeCell ref="G49:H49"/>
    <mergeCell ref="A5:C6"/>
    <mergeCell ref="D5:F6"/>
    <mergeCell ref="K5:K6"/>
    <mergeCell ref="L5:L6"/>
    <mergeCell ref="A7:C9"/>
    <mergeCell ref="D7:F9"/>
    <mergeCell ref="K7:K8"/>
    <mergeCell ref="L7:L8"/>
    <mergeCell ref="A1:O1"/>
    <mergeCell ref="A2:O2"/>
    <mergeCell ref="A3:C4"/>
    <mergeCell ref="D3:F4"/>
    <mergeCell ref="K3:L4"/>
    <mergeCell ref="M3:O3"/>
    <mergeCell ref="M4:O4"/>
    <mergeCell ref="A147:O147"/>
    <mergeCell ref="A148:B150"/>
    <mergeCell ref="C148:E149"/>
    <mergeCell ref="F148:G149"/>
    <mergeCell ref="I148:I151"/>
    <mergeCell ref="J148:J151"/>
    <mergeCell ref="C150:E150"/>
    <mergeCell ref="F150:G150"/>
    <mergeCell ref="K150:N150"/>
    <mergeCell ref="A151:H151"/>
    <mergeCell ref="K151:N151"/>
  </mergeCells>
  <conditionalFormatting sqref="J37:J63">
    <cfRule type="expression" dxfId="3" priority="1">
      <formula>E37&lt;&gt;"Hourly"</formula>
    </cfRule>
  </conditionalFormatting>
  <dataValidations count="2">
    <dataValidation type="list" allowBlank="1" showInputMessage="1" showErrorMessage="1" sqref="E37:E63" xr:uid="{00000000-0002-0000-0200-000000000000}">
      <formula1>$B$11:$B$16</formula1>
    </dataValidation>
    <dataValidation type="list" allowBlank="1" showInputMessage="1" showErrorMessage="1" sqref="F37:F63" xr:uid="{00000000-0002-0000-0200-000001000000}">
      <formula1>INDIRECT(E37)</formula1>
    </dataValidation>
  </dataValidations>
  <printOptions horizontalCentered="1" verticalCentered="1"/>
  <pageMargins left="0.25" right="0.25" top="0.5" bottom="0.5" header="0" footer="0"/>
  <pageSetup scale="65" orientation="portrait" r:id="rId1"/>
  <headerFooter alignWithMargins="0">
    <oddFooter xml:space="preserve">&amp;R&amp;K000000
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159"/>
  <sheetViews>
    <sheetView topLeftCell="A85" zoomScale="85" zoomScaleNormal="85" zoomScalePageLayoutView="85" workbookViewId="0">
      <selection activeCell="C144" sqref="C144"/>
    </sheetView>
  </sheetViews>
  <sheetFormatPr defaultColWidth="8.85546875" defaultRowHeight="12.75" x14ac:dyDescent="0.2"/>
  <cols>
    <col min="1" max="1" width="4.140625" style="1" customWidth="1"/>
    <col min="2" max="2" width="4.28515625" style="1" customWidth="1"/>
    <col min="3" max="3" width="13.28515625" style="1" customWidth="1"/>
    <col min="4" max="4" width="7.42578125" style="1" customWidth="1"/>
    <col min="5" max="5" width="14.7109375" style="1" customWidth="1"/>
    <col min="6" max="6" width="10.42578125" style="1" customWidth="1"/>
    <col min="7" max="7" width="6.42578125" style="1" customWidth="1"/>
    <col min="8" max="8" width="6.28515625" style="1" customWidth="1"/>
    <col min="9" max="9" width="8.7109375" style="1" customWidth="1"/>
    <col min="10" max="10" width="11.7109375" style="2" customWidth="1"/>
    <col min="11" max="11" width="13" style="2" customWidth="1"/>
    <col min="12" max="13" width="12.85546875" style="1" customWidth="1"/>
    <col min="14" max="14" width="12.42578125" style="1" customWidth="1"/>
    <col min="15" max="15" width="17.140625" style="1" customWidth="1"/>
    <col min="16" max="16" width="12" style="1" customWidth="1"/>
    <col min="17" max="17" width="35.42578125" style="1" customWidth="1"/>
    <col min="18" max="18" width="14.28515625" style="1" customWidth="1"/>
    <col min="19" max="16384" width="8.85546875" style="1"/>
  </cols>
  <sheetData>
    <row r="1" spans="1:18" s="4" customFormat="1" ht="21.95" customHeight="1" x14ac:dyDescent="0.2">
      <c r="A1" s="342" t="s">
        <v>11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67"/>
    </row>
    <row r="2" spans="1:18" s="4" customFormat="1" ht="21.95" customHeight="1" thickBot="1" x14ac:dyDescent="0.25">
      <c r="A2" s="343" t="s">
        <v>10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68"/>
    </row>
    <row r="3" spans="1:18" s="4" customFormat="1" ht="12" customHeight="1" x14ac:dyDescent="0.25">
      <c r="A3" s="344" t="s">
        <v>176</v>
      </c>
      <c r="B3" s="345"/>
      <c r="C3" s="345"/>
      <c r="D3" s="348" t="e">
        <f>'Per7'!D3</f>
        <v>#REF!</v>
      </c>
      <c r="E3" s="348"/>
      <c r="F3" s="348"/>
      <c r="G3" s="56"/>
      <c r="H3" s="148"/>
      <c r="I3" s="148"/>
      <c r="J3" s="148"/>
      <c r="K3" s="350" t="s">
        <v>202</v>
      </c>
      <c r="L3" s="351"/>
      <c r="M3" s="354" t="s">
        <v>216</v>
      </c>
      <c r="N3" s="355"/>
      <c r="O3" s="356"/>
      <c r="P3" s="69"/>
      <c r="Q3" s="198" t="s">
        <v>241</v>
      </c>
    </row>
    <row r="4" spans="1:18" ht="12" customHeight="1" thickBot="1" x14ac:dyDescent="0.3">
      <c r="A4" s="346"/>
      <c r="B4" s="347"/>
      <c r="C4" s="347"/>
      <c r="D4" s="349"/>
      <c r="E4" s="349"/>
      <c r="F4" s="349"/>
      <c r="G4" s="152"/>
      <c r="H4" s="149"/>
      <c r="I4" s="149"/>
      <c r="J4" s="149"/>
      <c r="K4" s="352"/>
      <c r="L4" s="353"/>
      <c r="M4" s="357" t="s">
        <v>236</v>
      </c>
      <c r="N4" s="358"/>
      <c r="O4" s="359"/>
      <c r="P4" s="70"/>
    </row>
    <row r="5" spans="1:18" ht="12" customHeight="1" thickBot="1" x14ac:dyDescent="0.3">
      <c r="A5" s="329" t="s">
        <v>14</v>
      </c>
      <c r="B5" s="330"/>
      <c r="C5" s="330"/>
      <c r="D5" s="331" t="e">
        <f>'Per7'!D5</f>
        <v>#REF!</v>
      </c>
      <c r="E5" s="331"/>
      <c r="F5" s="331"/>
      <c r="G5" s="119"/>
      <c r="H5" s="120"/>
      <c r="I5" s="120"/>
      <c r="J5" s="101"/>
      <c r="K5" s="333" t="s">
        <v>12</v>
      </c>
      <c r="L5" s="334" t="e">
        <f>'Per7'!L7+1</f>
        <v>#REF!</v>
      </c>
      <c r="M5" s="34"/>
      <c r="N5" s="35" t="s">
        <v>8</v>
      </c>
      <c r="O5" s="36" t="s">
        <v>9</v>
      </c>
      <c r="P5" s="71"/>
      <c r="Q5" s="5"/>
      <c r="R5" s="5"/>
    </row>
    <row r="6" spans="1:18" ht="12" customHeight="1" thickTop="1" x14ac:dyDescent="0.25">
      <c r="A6" s="329"/>
      <c r="B6" s="330"/>
      <c r="C6" s="330"/>
      <c r="D6" s="332"/>
      <c r="E6" s="332"/>
      <c r="F6" s="332"/>
      <c r="G6" s="152"/>
      <c r="H6" s="120"/>
      <c r="I6" s="120"/>
      <c r="J6" s="101"/>
      <c r="K6" s="333"/>
      <c r="L6" s="335"/>
      <c r="M6" s="37" t="s">
        <v>2</v>
      </c>
      <c r="N6" s="196" t="e">
        <f>'Period 1'!#REF!</f>
        <v>#REF!</v>
      </c>
      <c r="O6" s="197" t="e">
        <f>'Period 1'!#REF!</f>
        <v>#REF!</v>
      </c>
      <c r="P6" s="72"/>
    </row>
    <row r="7" spans="1:18" ht="12" customHeight="1" x14ac:dyDescent="0.25">
      <c r="A7" s="329" t="s">
        <v>6</v>
      </c>
      <c r="B7" s="330"/>
      <c r="C7" s="330"/>
      <c r="D7" s="338" t="e">
        <f>'Per7'!D7</f>
        <v>#REF!</v>
      </c>
      <c r="E7" s="338"/>
      <c r="F7" s="338"/>
      <c r="G7" s="122"/>
      <c r="H7" s="121"/>
      <c r="I7" s="121"/>
      <c r="J7" s="101"/>
      <c r="K7" s="333" t="s">
        <v>13</v>
      </c>
      <c r="L7" s="341" t="e">
        <f>EDATE(L5,12)-1</f>
        <v>#REF!</v>
      </c>
      <c r="M7" s="38" t="s">
        <v>3</v>
      </c>
      <c r="N7" s="39">
        <f>'Period 1'!$L$7</f>
        <v>0</v>
      </c>
      <c r="O7" s="40">
        <f>'Period 1'!$M$7</f>
        <v>0</v>
      </c>
      <c r="P7" s="72"/>
    </row>
    <row r="8" spans="1:18" ht="12.75" customHeight="1" x14ac:dyDescent="0.25">
      <c r="A8" s="329"/>
      <c r="B8" s="330"/>
      <c r="C8" s="330"/>
      <c r="D8" s="339"/>
      <c r="E8" s="339"/>
      <c r="F8" s="339"/>
      <c r="G8" s="122"/>
      <c r="H8" s="121"/>
      <c r="I8" s="121"/>
      <c r="K8" s="333"/>
      <c r="L8" s="335"/>
      <c r="M8" s="38" t="s">
        <v>4</v>
      </c>
      <c r="N8" s="39">
        <f>'Period 1'!$K$8</f>
        <v>0</v>
      </c>
      <c r="O8" s="40">
        <f>'Period 1'!$M$8</f>
        <v>0</v>
      </c>
      <c r="P8" s="72"/>
    </row>
    <row r="9" spans="1:18" ht="12" customHeight="1" thickBot="1" x14ac:dyDescent="0.3">
      <c r="A9" s="336"/>
      <c r="B9" s="337"/>
      <c r="C9" s="337"/>
      <c r="D9" s="340"/>
      <c r="E9" s="340"/>
      <c r="F9" s="340"/>
      <c r="G9" s="123"/>
      <c r="H9" s="57"/>
      <c r="I9" s="153"/>
      <c r="J9" s="153"/>
      <c r="K9" s="153"/>
      <c r="L9" s="58"/>
      <c r="M9" s="41" t="s">
        <v>5</v>
      </c>
      <c r="N9" s="42">
        <f>'Period 1'!$L$9</f>
        <v>0</v>
      </c>
      <c r="O9" s="43">
        <f>'Period 1'!$M$9</f>
        <v>0</v>
      </c>
      <c r="P9" s="72"/>
    </row>
    <row r="10" spans="1:18" ht="13.5" hidden="1" thickBot="1" x14ac:dyDescent="0.25">
      <c r="B10" s="52"/>
      <c r="C10" s="52"/>
      <c r="D10" s="52"/>
      <c r="E10" s="89" t="s">
        <v>173</v>
      </c>
      <c r="F10" s="90" t="s">
        <v>66</v>
      </c>
      <c r="G10" s="90" t="s">
        <v>67</v>
      </c>
      <c r="H10" s="90" t="s">
        <v>68</v>
      </c>
      <c r="I10" s="90" t="s">
        <v>65</v>
      </c>
      <c r="J10" s="91" t="s">
        <v>71</v>
      </c>
      <c r="K10" s="52"/>
      <c r="L10" s="52"/>
      <c r="M10" s="52"/>
      <c r="N10" s="60" t="s">
        <v>26</v>
      </c>
      <c r="O10" s="61">
        <v>0</v>
      </c>
      <c r="P10" s="66"/>
    </row>
    <row r="11" spans="1:18" hidden="1" x14ac:dyDescent="0.2">
      <c r="B11" s="89" t="s">
        <v>173</v>
      </c>
      <c r="C11" s="91">
        <f>1/900</f>
        <v>1.1111111111111111E-3</v>
      </c>
      <c r="D11" s="191"/>
      <c r="E11" s="96" t="str">
        <f>N10</f>
        <v>Select One</v>
      </c>
      <c r="F11" s="52" t="str">
        <f>N10</f>
        <v>Select One</v>
      </c>
      <c r="G11" s="52" t="str">
        <f>N10</f>
        <v>Select One</v>
      </c>
      <c r="H11" s="52" t="str">
        <f>N10</f>
        <v>Select One</v>
      </c>
      <c r="I11" s="52" t="str">
        <f>N10</f>
        <v>Select One</v>
      </c>
      <c r="J11" s="93" t="str">
        <f>N10</f>
        <v>Select One</v>
      </c>
      <c r="K11" s="89" t="str">
        <f>B11&amp;M6</f>
        <v>FT_BE_09Emp/Family</v>
      </c>
      <c r="L11" s="99" t="e">
        <f>N6</f>
        <v>#REF!</v>
      </c>
      <c r="M11" s="100">
        <v>0.18</v>
      </c>
      <c r="N11" s="91">
        <v>100</v>
      </c>
      <c r="O11" s="52"/>
    </row>
    <row r="12" spans="1:18" hidden="1" x14ac:dyDescent="0.2">
      <c r="B12" s="92" t="s">
        <v>66</v>
      </c>
      <c r="C12" s="93">
        <f>1/1200</f>
        <v>8.3333333333333339E-4</v>
      </c>
      <c r="D12" s="191"/>
      <c r="E12" s="97" t="str">
        <f>M6</f>
        <v>Emp/Family</v>
      </c>
      <c r="F12" s="53" t="str">
        <f>M6</f>
        <v>Emp/Family</v>
      </c>
      <c r="G12" s="53" t="str">
        <f>M6</f>
        <v>Emp/Family</v>
      </c>
      <c r="H12" s="52" t="s">
        <v>69</v>
      </c>
      <c r="I12" s="52"/>
      <c r="J12" s="93" t="s">
        <v>69</v>
      </c>
      <c r="K12" s="92" t="str">
        <f>B11&amp;M7</f>
        <v>FT_BE_09Emp/Child</v>
      </c>
      <c r="L12" s="62">
        <f>N7</f>
        <v>0</v>
      </c>
      <c r="M12" s="63">
        <v>0.18</v>
      </c>
      <c r="N12" s="93">
        <v>100</v>
      </c>
      <c r="O12" s="52"/>
    </row>
    <row r="13" spans="1:18" hidden="1" x14ac:dyDescent="0.2">
      <c r="B13" s="92" t="s">
        <v>67</v>
      </c>
      <c r="C13" s="93">
        <f>1/1200</f>
        <v>8.3333333333333339E-4</v>
      </c>
      <c r="D13" s="191"/>
      <c r="E13" s="97" t="str">
        <f>M7</f>
        <v>Emp/Child</v>
      </c>
      <c r="F13" s="53" t="str">
        <f>M7</f>
        <v>Emp/Child</v>
      </c>
      <c r="G13" s="53" t="str">
        <f>M7</f>
        <v>Emp/Child</v>
      </c>
      <c r="H13" s="52"/>
      <c r="I13" s="52"/>
      <c r="J13" s="93"/>
      <c r="K13" s="92" t="str">
        <f>B11&amp;M8</f>
        <v>FT_BE_09Emp/Spouse</v>
      </c>
      <c r="L13" s="62">
        <f>N8</f>
        <v>0</v>
      </c>
      <c r="M13" s="63">
        <v>0.18</v>
      </c>
      <c r="N13" s="93">
        <v>100</v>
      </c>
      <c r="O13" s="52"/>
    </row>
    <row r="14" spans="1:18" hidden="1" x14ac:dyDescent="0.2">
      <c r="B14" s="92" t="s">
        <v>174</v>
      </c>
      <c r="C14" s="93">
        <f>1/1200</f>
        <v>8.3333333333333339E-4</v>
      </c>
      <c r="D14" s="191"/>
      <c r="E14" s="97" t="str">
        <f>M8</f>
        <v>Emp/Spouse</v>
      </c>
      <c r="F14" s="53" t="str">
        <f>M8</f>
        <v>Emp/Spouse</v>
      </c>
      <c r="G14" s="53" t="str">
        <f>M8</f>
        <v>Emp/Spouse</v>
      </c>
      <c r="H14" s="52"/>
      <c r="I14" s="52"/>
      <c r="J14" s="93"/>
      <c r="K14" s="92" t="str">
        <f>B11&amp;M9</f>
        <v>FT_BE_09Emp Only</v>
      </c>
      <c r="L14" s="62">
        <f>N9</f>
        <v>0</v>
      </c>
      <c r="M14" s="63">
        <v>0.18</v>
      </c>
      <c r="N14" s="93">
        <v>100</v>
      </c>
      <c r="O14" s="52"/>
    </row>
    <row r="15" spans="1:18" hidden="1" x14ac:dyDescent="0.2">
      <c r="B15" s="92" t="s">
        <v>71</v>
      </c>
      <c r="C15" s="93">
        <v>1</v>
      </c>
      <c r="D15" s="191"/>
      <c r="E15" s="97" t="str">
        <f>M9</f>
        <v>Emp Only</v>
      </c>
      <c r="F15" s="53" t="str">
        <f>M9</f>
        <v>Emp Only</v>
      </c>
      <c r="G15" s="53" t="str">
        <f>M9</f>
        <v>Emp Only</v>
      </c>
      <c r="H15" s="52"/>
      <c r="I15" s="52"/>
      <c r="J15" s="93"/>
      <c r="K15" s="92" t="str">
        <f>B12&amp;M6</f>
        <v>FT_BE_12Emp/Family</v>
      </c>
      <c r="L15" s="62" t="e">
        <f>N6</f>
        <v>#REF!</v>
      </c>
      <c r="M15" s="63">
        <v>0.18</v>
      </c>
      <c r="N15" s="93">
        <v>100</v>
      </c>
      <c r="O15" s="52"/>
    </row>
    <row r="16" spans="1:18" ht="13.5" hidden="1" thickBot="1" x14ac:dyDescent="0.25">
      <c r="B16" s="94" t="s">
        <v>65</v>
      </c>
      <c r="C16" s="95">
        <v>0</v>
      </c>
      <c r="D16" s="191"/>
      <c r="E16" s="94" t="s">
        <v>69</v>
      </c>
      <c r="F16" s="190" t="s">
        <v>69</v>
      </c>
      <c r="G16" s="190" t="s">
        <v>69</v>
      </c>
      <c r="H16" s="98"/>
      <c r="I16" s="98"/>
      <c r="J16" s="95"/>
      <c r="K16" s="92" t="str">
        <f>B12&amp;M7</f>
        <v>FT_BE_12Emp/Child</v>
      </c>
      <c r="L16" s="62">
        <f>N7</f>
        <v>0</v>
      </c>
      <c r="M16" s="63">
        <v>0.18</v>
      </c>
      <c r="N16" s="93">
        <v>100</v>
      </c>
      <c r="O16" s="52"/>
    </row>
    <row r="17" spans="2:15" hidden="1" x14ac:dyDescent="0.2">
      <c r="B17" s="52"/>
      <c r="C17" s="52"/>
      <c r="D17" s="52"/>
      <c r="E17" s="52"/>
      <c r="F17" s="52"/>
      <c r="G17" s="52"/>
      <c r="H17" s="52"/>
      <c r="I17" s="52"/>
      <c r="J17" s="52"/>
      <c r="K17" s="92" t="str">
        <f>B12&amp;M8</f>
        <v>FT_BE_12Emp/Spouse</v>
      </c>
      <c r="L17" s="62">
        <f>N8</f>
        <v>0</v>
      </c>
      <c r="M17" s="63">
        <v>0.18</v>
      </c>
      <c r="N17" s="93">
        <v>100</v>
      </c>
      <c r="O17" s="52"/>
    </row>
    <row r="18" spans="2:15" hidden="1" x14ac:dyDescent="0.2">
      <c r="B18" s="52"/>
      <c r="C18" s="52"/>
      <c r="D18" s="52"/>
      <c r="E18" s="52"/>
      <c r="F18" s="52"/>
      <c r="G18" s="52"/>
      <c r="H18" s="52"/>
      <c r="I18" s="52"/>
      <c r="J18" s="52"/>
      <c r="K18" s="92" t="str">
        <f>B12&amp;M9</f>
        <v>FT_BE_12Emp Only</v>
      </c>
      <c r="L18" s="62">
        <f>N9</f>
        <v>0</v>
      </c>
      <c r="M18" s="63">
        <v>0.18</v>
      </c>
      <c r="N18" s="93">
        <v>100</v>
      </c>
      <c r="O18" s="52"/>
    </row>
    <row r="19" spans="2:15" hidden="1" x14ac:dyDescent="0.2">
      <c r="B19" s="52"/>
      <c r="C19" s="52"/>
      <c r="D19" s="52"/>
      <c r="E19" s="52"/>
      <c r="F19" s="52"/>
      <c r="G19" s="52"/>
      <c r="H19" s="52"/>
      <c r="I19" s="52"/>
      <c r="J19" s="52"/>
      <c r="K19" s="92" t="str">
        <f>B13&amp;M6</f>
        <v>PT_BE_12Emp/Family</v>
      </c>
      <c r="L19" s="62" t="e">
        <f>N6</f>
        <v>#REF!</v>
      </c>
      <c r="M19" s="63">
        <v>0.18</v>
      </c>
      <c r="N19" s="93">
        <v>50</v>
      </c>
      <c r="O19" s="52"/>
    </row>
    <row r="20" spans="2:15" hidden="1" x14ac:dyDescent="0.2">
      <c r="B20" s="52"/>
      <c r="C20" s="52"/>
      <c r="D20" s="52"/>
      <c r="E20" s="52"/>
      <c r="F20" s="52"/>
      <c r="G20" s="52"/>
      <c r="H20" s="52"/>
      <c r="I20" s="52"/>
      <c r="J20" s="52"/>
      <c r="K20" s="92" t="str">
        <f>B13&amp;M7</f>
        <v>PT_BE_12Emp/Child</v>
      </c>
      <c r="L20" s="62">
        <f>N7</f>
        <v>0</v>
      </c>
      <c r="M20" s="63">
        <v>0.18</v>
      </c>
      <c r="N20" s="93">
        <v>50</v>
      </c>
      <c r="O20" s="52"/>
    </row>
    <row r="21" spans="2:15" hidden="1" x14ac:dyDescent="0.2">
      <c r="B21" s="52"/>
      <c r="C21" s="52"/>
      <c r="D21" s="52"/>
      <c r="E21" s="52"/>
      <c r="F21" s="52"/>
      <c r="G21" s="52"/>
      <c r="H21" s="52"/>
      <c r="I21" s="52"/>
      <c r="J21" s="52"/>
      <c r="K21" s="92" t="str">
        <f>B13&amp;M8</f>
        <v>PT_BE_12Emp/Spouse</v>
      </c>
      <c r="L21" s="62">
        <f>N8</f>
        <v>0</v>
      </c>
      <c r="M21" s="63">
        <v>0.18</v>
      </c>
      <c r="N21" s="93">
        <v>50</v>
      </c>
      <c r="O21" s="52"/>
    </row>
    <row r="22" spans="2:15" hidden="1" x14ac:dyDescent="0.2">
      <c r="B22" s="52"/>
      <c r="C22" s="52"/>
      <c r="D22" s="52"/>
      <c r="E22" s="52"/>
      <c r="F22" s="52"/>
      <c r="G22" s="52"/>
      <c r="H22" s="52"/>
      <c r="I22" s="52"/>
      <c r="J22" s="52"/>
      <c r="K22" s="92" t="str">
        <f>B13&amp;M9</f>
        <v>PT_BE_12Emp Only</v>
      </c>
      <c r="L22" s="62">
        <f>N9</f>
        <v>0</v>
      </c>
      <c r="M22" s="63">
        <v>0.18</v>
      </c>
      <c r="N22" s="93">
        <v>50</v>
      </c>
      <c r="O22" s="52"/>
    </row>
    <row r="23" spans="2:15" hidden="1" x14ac:dyDescent="0.2">
      <c r="B23" s="52"/>
      <c r="C23" s="52"/>
      <c r="D23" s="52"/>
      <c r="E23" s="52"/>
      <c r="F23" s="52"/>
      <c r="G23" s="52"/>
      <c r="H23" s="52"/>
      <c r="I23" s="52"/>
      <c r="J23" s="52"/>
      <c r="K23" s="92" t="str">
        <f>B14&amp;H12</f>
        <v>PT_NB_12None</v>
      </c>
      <c r="L23" s="52">
        <v>0</v>
      </c>
      <c r="M23" s="63">
        <v>0.08</v>
      </c>
      <c r="N23" s="93">
        <v>0</v>
      </c>
      <c r="O23" s="52"/>
    </row>
    <row r="24" spans="2:15" hidden="1" x14ac:dyDescent="0.2">
      <c r="B24" s="52"/>
      <c r="C24" s="52"/>
      <c r="D24" s="52"/>
      <c r="E24" s="52"/>
      <c r="F24" s="52"/>
      <c r="G24" s="52"/>
      <c r="H24" s="52"/>
      <c r="I24" s="52"/>
      <c r="J24" s="52"/>
      <c r="K24" s="92" t="str">
        <f>B11&amp;N10</f>
        <v>FT_BE_09Select One</v>
      </c>
      <c r="L24" s="52">
        <v>0</v>
      </c>
      <c r="M24" s="63">
        <v>0</v>
      </c>
      <c r="N24" s="93">
        <v>0</v>
      </c>
      <c r="O24" s="52"/>
    </row>
    <row r="25" spans="2:15" hidden="1" x14ac:dyDescent="0.2">
      <c r="B25" s="52"/>
      <c r="C25" s="52"/>
      <c r="D25" s="52"/>
      <c r="E25" s="52"/>
      <c r="F25" s="52"/>
      <c r="G25" s="52"/>
      <c r="H25" s="52"/>
      <c r="I25" s="52"/>
      <c r="J25" s="52"/>
      <c r="K25" s="92" t="str">
        <f>B12&amp;N10</f>
        <v>FT_BE_12Select One</v>
      </c>
      <c r="L25" s="52">
        <v>0</v>
      </c>
      <c r="M25" s="63">
        <v>0</v>
      </c>
      <c r="N25" s="93">
        <v>0</v>
      </c>
      <c r="O25" s="52"/>
    </row>
    <row r="26" spans="2:15" hidden="1" x14ac:dyDescent="0.2">
      <c r="B26" s="52"/>
      <c r="C26" s="52"/>
      <c r="D26" s="52"/>
      <c r="E26" s="52"/>
      <c r="F26" s="52"/>
      <c r="G26" s="52"/>
      <c r="H26" s="52"/>
      <c r="I26" s="52"/>
      <c r="J26" s="52"/>
      <c r="K26" s="92" t="str">
        <f>B13&amp;N10</f>
        <v>PT_BE_12Select One</v>
      </c>
      <c r="L26" s="52">
        <v>0</v>
      </c>
      <c r="M26" s="63">
        <v>0</v>
      </c>
      <c r="N26" s="93">
        <v>0</v>
      </c>
      <c r="O26" s="52"/>
    </row>
    <row r="27" spans="2:15" hidden="1" x14ac:dyDescent="0.2">
      <c r="B27" s="52"/>
      <c r="C27" s="52"/>
      <c r="D27" s="52"/>
      <c r="E27" s="52"/>
      <c r="F27" s="52"/>
      <c r="G27" s="52"/>
      <c r="H27" s="52"/>
      <c r="I27" s="52"/>
      <c r="J27" s="52"/>
      <c r="K27" s="92" t="str">
        <f>B14&amp;N10</f>
        <v>PT_NB_12Select One</v>
      </c>
      <c r="L27" s="52">
        <v>0</v>
      </c>
      <c r="M27" s="63">
        <v>0</v>
      </c>
      <c r="N27" s="93">
        <v>0</v>
      </c>
      <c r="O27" s="52"/>
    </row>
    <row r="28" spans="2:15" hidden="1" x14ac:dyDescent="0.2">
      <c r="B28" s="52"/>
      <c r="C28" s="52"/>
      <c r="D28" s="52"/>
      <c r="E28" s="52"/>
      <c r="F28" s="52"/>
      <c r="G28" s="52"/>
      <c r="H28" s="52"/>
      <c r="I28" s="52"/>
      <c r="J28" s="52"/>
      <c r="K28" s="92" t="str">
        <f>B15&amp;J11</f>
        <v>HourlySelect One</v>
      </c>
      <c r="L28" s="52">
        <v>0</v>
      </c>
      <c r="M28" s="64">
        <v>0</v>
      </c>
      <c r="N28" s="93">
        <v>0</v>
      </c>
      <c r="O28" s="52"/>
    </row>
    <row r="29" spans="2:15" hidden="1" x14ac:dyDescent="0.2">
      <c r="B29" s="52"/>
      <c r="C29" s="52"/>
      <c r="D29" s="52"/>
      <c r="E29" s="52"/>
      <c r="F29" s="52"/>
      <c r="G29" s="52"/>
      <c r="H29" s="52"/>
      <c r="I29" s="52"/>
      <c r="J29" s="52"/>
      <c r="K29" s="92" t="str">
        <f>B15&amp;J12</f>
        <v>HourlyNone</v>
      </c>
      <c r="L29" s="52">
        <v>0</v>
      </c>
      <c r="M29" s="64">
        <v>0.08</v>
      </c>
      <c r="N29" s="93">
        <v>0</v>
      </c>
      <c r="O29" s="52"/>
    </row>
    <row r="30" spans="2:15" hidden="1" x14ac:dyDescent="0.2">
      <c r="B30" s="52"/>
      <c r="C30" s="52"/>
      <c r="D30" s="52"/>
      <c r="E30" s="52"/>
      <c r="F30" s="52"/>
      <c r="G30" s="52"/>
      <c r="H30" s="52"/>
      <c r="I30" s="52"/>
      <c r="J30" s="52"/>
      <c r="K30" s="92" t="str">
        <f>B11&amp;E16</f>
        <v>FT_BE_09None</v>
      </c>
      <c r="L30" s="52">
        <v>0</v>
      </c>
      <c r="M30" s="64">
        <v>0.18</v>
      </c>
      <c r="N30" s="93">
        <v>100</v>
      </c>
      <c r="O30" s="52"/>
    </row>
    <row r="31" spans="2:15" hidden="1" x14ac:dyDescent="0.2">
      <c r="B31" s="52"/>
      <c r="C31" s="52"/>
      <c r="D31" s="52"/>
      <c r="E31" s="52"/>
      <c r="F31" s="52"/>
      <c r="G31" s="52"/>
      <c r="H31" s="52"/>
      <c r="I31" s="52"/>
      <c r="J31" s="52"/>
      <c r="K31" s="92" t="str">
        <f>B12&amp;F16</f>
        <v>FT_BE_12None</v>
      </c>
      <c r="L31" s="52">
        <v>0</v>
      </c>
      <c r="M31" s="64">
        <v>0.18</v>
      </c>
      <c r="N31" s="93">
        <v>100</v>
      </c>
      <c r="O31" s="52"/>
    </row>
    <row r="32" spans="2:15" hidden="1" x14ac:dyDescent="0.2">
      <c r="B32" s="52"/>
      <c r="C32" s="52"/>
      <c r="D32" s="52"/>
      <c r="E32" s="52"/>
      <c r="F32" s="52"/>
      <c r="G32" s="52"/>
      <c r="H32" s="52"/>
      <c r="I32" s="52"/>
      <c r="J32" s="52"/>
      <c r="K32" s="92" t="str">
        <f>B13&amp;G16</f>
        <v>PT_BE_12None</v>
      </c>
      <c r="L32" s="52">
        <v>0</v>
      </c>
      <c r="M32" s="64">
        <v>0.18</v>
      </c>
      <c r="N32" s="93">
        <v>100</v>
      </c>
      <c r="O32" s="52"/>
    </row>
    <row r="33" spans="1:19" ht="13.5" hidden="1" thickBot="1" x14ac:dyDescent="0.25">
      <c r="B33" s="52"/>
      <c r="C33" s="52"/>
      <c r="D33" s="52"/>
      <c r="E33" s="52"/>
      <c r="F33" s="52"/>
      <c r="G33" s="52"/>
      <c r="H33" s="52"/>
      <c r="I33" s="52"/>
      <c r="J33" s="52"/>
      <c r="K33" s="94" t="str">
        <f>B16&amp;Select</f>
        <v>SelectSelect One</v>
      </c>
      <c r="L33" s="98">
        <v>0</v>
      </c>
      <c r="M33" s="98">
        <v>0</v>
      </c>
      <c r="N33" s="95">
        <v>0</v>
      </c>
      <c r="O33" s="52"/>
    </row>
    <row r="34" spans="1:19" ht="18" customHeight="1" thickBot="1" x14ac:dyDescent="0.25">
      <c r="A34" s="360"/>
      <c r="B34" s="360"/>
      <c r="C34" s="360"/>
      <c r="D34" s="360"/>
      <c r="E34" s="360"/>
      <c r="F34" s="360"/>
      <c r="G34" s="360"/>
      <c r="H34" s="360"/>
      <c r="I34" s="360"/>
      <c r="J34" s="360"/>
      <c r="K34" s="360"/>
      <c r="L34" s="360"/>
      <c r="M34" s="360"/>
      <c r="N34" s="360"/>
      <c r="O34" s="360"/>
    </row>
    <row r="35" spans="1:19" ht="13.5" customHeight="1" x14ac:dyDescent="0.2">
      <c r="A35" s="361" t="s">
        <v>38</v>
      </c>
      <c r="B35" s="409" t="s">
        <v>208</v>
      </c>
      <c r="C35" s="383"/>
      <c r="D35" s="383"/>
      <c r="E35" s="383"/>
      <c r="F35" s="383"/>
      <c r="G35" s="383"/>
      <c r="H35" s="383"/>
      <c r="I35" s="383"/>
      <c r="J35" s="383"/>
      <c r="K35" s="410" t="s">
        <v>70</v>
      </c>
      <c r="L35" s="411"/>
      <c r="M35" s="193" t="e">
        <f>SUM(M37:M63)</f>
        <v>#REF!</v>
      </c>
      <c r="N35" s="193" t="e">
        <f>SUM(N37:N63)</f>
        <v>#REF!</v>
      </c>
      <c r="O35" s="20" t="e">
        <f>SUM(O37:O63)</f>
        <v>#REF!</v>
      </c>
    </row>
    <row r="36" spans="1:19" ht="39" customHeight="1" x14ac:dyDescent="0.2">
      <c r="A36" s="362"/>
      <c r="B36" s="364" t="s">
        <v>60</v>
      </c>
      <c r="C36" s="364"/>
      <c r="D36" s="85" t="s">
        <v>1</v>
      </c>
      <c r="E36" s="85" t="s">
        <v>74</v>
      </c>
      <c r="F36" s="86" t="s">
        <v>15</v>
      </c>
      <c r="G36" s="365" t="s">
        <v>73</v>
      </c>
      <c r="H36" s="366"/>
      <c r="I36" s="85" t="s">
        <v>189</v>
      </c>
      <c r="J36" s="85" t="s">
        <v>72</v>
      </c>
      <c r="K36" s="87" t="s">
        <v>198</v>
      </c>
      <c r="L36" s="85" t="s">
        <v>7</v>
      </c>
      <c r="M36" s="85" t="s">
        <v>77</v>
      </c>
      <c r="N36" s="85" t="s">
        <v>31</v>
      </c>
      <c r="O36" s="88" t="s">
        <v>209</v>
      </c>
      <c r="P36" s="82"/>
      <c r="S36" s="7"/>
    </row>
    <row r="37" spans="1:19" ht="13.5" customHeight="1" x14ac:dyDescent="0.2">
      <c r="A37" s="362"/>
      <c r="B37" s="367" t="e">
        <f>IF('Per7'!B37&lt;&gt;"",'Per7'!B37,"")</f>
        <v>#REF!</v>
      </c>
      <c r="C37" s="367"/>
      <c r="D37" s="129" t="e">
        <f>IF('Per7'!D37&lt;&gt;"",'Per7'!D37,"")</f>
        <v>#REF!</v>
      </c>
      <c r="E37" s="124" t="e">
        <f>'Per7'!E37</f>
        <v>#REF!</v>
      </c>
      <c r="F37" s="54" t="e">
        <f>'Per7'!F37</f>
        <v>#REF!</v>
      </c>
      <c r="G37" s="368" t="e">
        <f>IF(E37="Hourly",ROUND('Per7'!G37*1.03,2),ROUND('Per7'!G37*1.03,0))</f>
        <v>#REF!</v>
      </c>
      <c r="H37" s="369"/>
      <c r="I37" s="8"/>
      <c r="J37" s="59"/>
      <c r="K37" s="9" t="e">
        <f>IF(E37="Hourly",I37*J37/173.33,I37*J37/100)</f>
        <v>#REF!</v>
      </c>
      <c r="L37" s="10" t="e">
        <f t="shared" ref="L37:L63" si="0">IF(M37&lt;&gt;0,SUM(N37/M37),"-")</f>
        <v>#REF!</v>
      </c>
      <c r="M37" s="45" t="e">
        <f t="shared" ref="M37:M63" si="1">ROUND((G37*I37*J37*VLOOKUP(E37,$B$11:$C$16,2,FALSE)),0)</f>
        <v>#REF!</v>
      </c>
      <c r="N37" s="45" t="e">
        <f t="shared" ref="N37:N63" si="2">ROUND(M37*VLOOKUP(E37&amp;F37,$K$11:$N$33,3,FALSE)+VLOOKUP(E37&amp;F37,$K$11:$N$33,2,FALSE)*MIN(J37,VLOOKUP(E37&amp;F37,$K$11:$N$33,4,FALSE))*I37/100,0)</f>
        <v>#REF!</v>
      </c>
      <c r="O37" s="46" t="e">
        <f t="shared" ref="O37:O63" si="3">M37+N37</f>
        <v>#REF!</v>
      </c>
      <c r="P37" s="73"/>
      <c r="Q37" s="17" t="s">
        <v>75</v>
      </c>
      <c r="S37" s="5"/>
    </row>
    <row r="38" spans="1:19" ht="13.5" customHeight="1" x14ac:dyDescent="0.2">
      <c r="A38" s="362"/>
      <c r="B38" s="367" t="e">
        <f>IF('Per7'!B38&lt;&gt;"",'Per7'!B38,"")</f>
        <v>#REF!</v>
      </c>
      <c r="C38" s="367"/>
      <c r="D38" s="129" t="e">
        <f>IF('Per7'!D38&lt;&gt;"",'Per7'!D38,"")</f>
        <v>#REF!</v>
      </c>
      <c r="E38" s="124" t="e">
        <f>'Per7'!E38</f>
        <v>#REF!</v>
      </c>
      <c r="F38" s="54" t="e">
        <f>'Per7'!F38</f>
        <v>#REF!</v>
      </c>
      <c r="G38" s="368" t="e">
        <f>IF(E38="Hourly",ROUND('Per7'!G38*1.03,2),ROUND('Per7'!G38*1.03,0))</f>
        <v>#REF!</v>
      </c>
      <c r="H38" s="369"/>
      <c r="I38" s="8"/>
      <c r="J38" s="59"/>
      <c r="K38" s="9" t="e">
        <f t="shared" ref="K38:K63" si="4">IF(E38="Hourly",I38*J38/173.33,I38*J38/100)</f>
        <v>#REF!</v>
      </c>
      <c r="L38" s="10" t="e">
        <f t="shared" si="0"/>
        <v>#REF!</v>
      </c>
      <c r="M38" s="45" t="e">
        <f t="shared" si="1"/>
        <v>#REF!</v>
      </c>
      <c r="N38" s="45" t="e">
        <f t="shared" si="2"/>
        <v>#REF!</v>
      </c>
      <c r="O38" s="11" t="e">
        <f t="shared" si="3"/>
        <v>#REF!</v>
      </c>
      <c r="P38" s="74"/>
      <c r="Q38" s="17" t="s">
        <v>194</v>
      </c>
      <c r="S38" s="5"/>
    </row>
    <row r="39" spans="1:19" ht="13.5" customHeight="1" x14ac:dyDescent="0.2">
      <c r="A39" s="362"/>
      <c r="B39" s="367" t="e">
        <f>IF('Per7'!B39&lt;&gt;"",'Per7'!B39,"")</f>
        <v>#REF!</v>
      </c>
      <c r="C39" s="367"/>
      <c r="D39" s="129" t="e">
        <f>IF('Per7'!D39&lt;&gt;"",'Per7'!D39,"")</f>
        <v>#REF!</v>
      </c>
      <c r="E39" s="124" t="e">
        <f>'Per7'!E39</f>
        <v>#REF!</v>
      </c>
      <c r="F39" s="54" t="e">
        <f>'Per7'!F39</f>
        <v>#REF!</v>
      </c>
      <c r="G39" s="368" t="e">
        <f>IF(E39="Hourly",ROUND('Per7'!G39*1.03,2),ROUND('Per7'!G39*1.03,0))</f>
        <v>#REF!</v>
      </c>
      <c r="H39" s="369"/>
      <c r="I39" s="8"/>
      <c r="J39" s="59"/>
      <c r="K39" s="9" t="e">
        <f t="shared" si="4"/>
        <v>#REF!</v>
      </c>
      <c r="L39" s="10" t="e">
        <f t="shared" si="0"/>
        <v>#REF!</v>
      </c>
      <c r="M39" s="45" t="e">
        <f t="shared" si="1"/>
        <v>#REF!</v>
      </c>
      <c r="N39" s="45" t="e">
        <f t="shared" si="2"/>
        <v>#REF!</v>
      </c>
      <c r="O39" s="11" t="e">
        <f t="shared" si="3"/>
        <v>#REF!</v>
      </c>
      <c r="P39" s="74"/>
      <c r="Q39" s="17" t="s">
        <v>195</v>
      </c>
      <c r="S39" s="5"/>
    </row>
    <row r="40" spans="1:19" ht="13.5" customHeight="1" x14ac:dyDescent="0.2">
      <c r="A40" s="362"/>
      <c r="B40" s="367" t="e">
        <f>IF('Per7'!B40&lt;&gt;"",'Per7'!B40,"")</f>
        <v>#REF!</v>
      </c>
      <c r="C40" s="367"/>
      <c r="D40" s="129" t="e">
        <f>IF('Per7'!D40&lt;&gt;"",'Per7'!D40,"")</f>
        <v>#REF!</v>
      </c>
      <c r="E40" s="124" t="e">
        <f>'Per7'!E40</f>
        <v>#REF!</v>
      </c>
      <c r="F40" s="54" t="e">
        <f>'Per7'!F40</f>
        <v>#REF!</v>
      </c>
      <c r="G40" s="368" t="e">
        <f>IF(E40="Hourly",ROUND('Per7'!G40*1.03,2),ROUND('Per7'!G40*1.03,0))</f>
        <v>#REF!</v>
      </c>
      <c r="H40" s="369"/>
      <c r="I40" s="8"/>
      <c r="J40" s="59"/>
      <c r="K40" s="9" t="e">
        <f t="shared" si="4"/>
        <v>#REF!</v>
      </c>
      <c r="L40" s="10" t="e">
        <f t="shared" si="0"/>
        <v>#REF!</v>
      </c>
      <c r="M40" s="45" t="e">
        <f t="shared" si="1"/>
        <v>#REF!</v>
      </c>
      <c r="N40" s="45" t="e">
        <f t="shared" si="2"/>
        <v>#REF!</v>
      </c>
      <c r="O40" s="11" t="e">
        <f t="shared" si="3"/>
        <v>#REF!</v>
      </c>
      <c r="P40" s="74"/>
      <c r="Q40" s="17" t="s">
        <v>196</v>
      </c>
      <c r="S40" s="5"/>
    </row>
    <row r="41" spans="1:19" ht="13.5" customHeight="1" x14ac:dyDescent="0.2">
      <c r="A41" s="362"/>
      <c r="B41" s="367" t="e">
        <f>IF('Per7'!B41&lt;&gt;"",'Per7'!B41,"")</f>
        <v>#REF!</v>
      </c>
      <c r="C41" s="367"/>
      <c r="D41" s="129" t="e">
        <f>IF('Per7'!D41&lt;&gt;"",'Per7'!D41,"")</f>
        <v>#REF!</v>
      </c>
      <c r="E41" s="124" t="e">
        <f>'Per7'!E41</f>
        <v>#REF!</v>
      </c>
      <c r="F41" s="54" t="e">
        <f>'Per7'!F41</f>
        <v>#REF!</v>
      </c>
      <c r="G41" s="368" t="e">
        <f>IF(E41="Hourly",ROUND('Per7'!G41*1.03,2),ROUND('Per7'!G41*1.03,0))</f>
        <v>#REF!</v>
      </c>
      <c r="H41" s="369"/>
      <c r="I41" s="8"/>
      <c r="J41" s="59"/>
      <c r="K41" s="9" t="e">
        <f t="shared" si="4"/>
        <v>#REF!</v>
      </c>
      <c r="L41" s="10" t="e">
        <f t="shared" si="0"/>
        <v>#REF!</v>
      </c>
      <c r="M41" s="45" t="e">
        <f t="shared" si="1"/>
        <v>#REF!</v>
      </c>
      <c r="N41" s="45" t="e">
        <f t="shared" si="2"/>
        <v>#REF!</v>
      </c>
      <c r="O41" s="11" t="e">
        <f t="shared" si="3"/>
        <v>#REF!</v>
      </c>
      <c r="P41" s="74"/>
      <c r="Q41" s="17" t="s">
        <v>192</v>
      </c>
      <c r="S41" s="5"/>
    </row>
    <row r="42" spans="1:19" ht="13.5" customHeight="1" x14ac:dyDescent="0.2">
      <c r="A42" s="362"/>
      <c r="B42" s="367" t="e">
        <f>IF('Per7'!B42&lt;&gt;"",'Per7'!B42,"")</f>
        <v>#REF!</v>
      </c>
      <c r="C42" s="367"/>
      <c r="D42" s="129" t="e">
        <f>IF('Per7'!D42&lt;&gt;"",'Per7'!D42,"")</f>
        <v>#REF!</v>
      </c>
      <c r="E42" s="124" t="e">
        <f>'Per7'!E42</f>
        <v>#REF!</v>
      </c>
      <c r="F42" s="54" t="e">
        <f>'Per7'!F42</f>
        <v>#REF!</v>
      </c>
      <c r="G42" s="368" t="e">
        <f>IF(E42="Hourly",ROUND('Per7'!G42*1.03,2),ROUND('Per7'!G42*1.03,0))</f>
        <v>#REF!</v>
      </c>
      <c r="H42" s="369"/>
      <c r="I42" s="8"/>
      <c r="J42" s="59"/>
      <c r="K42" s="9" t="e">
        <f t="shared" si="4"/>
        <v>#REF!</v>
      </c>
      <c r="L42" s="10" t="e">
        <f t="shared" si="0"/>
        <v>#REF!</v>
      </c>
      <c r="M42" s="45" t="e">
        <f t="shared" si="1"/>
        <v>#REF!</v>
      </c>
      <c r="N42" s="45" t="e">
        <f t="shared" si="2"/>
        <v>#REF!</v>
      </c>
      <c r="O42" s="11" t="e">
        <f t="shared" si="3"/>
        <v>#REF!</v>
      </c>
      <c r="P42" s="74"/>
      <c r="Q42" s="17" t="s">
        <v>193</v>
      </c>
      <c r="S42" s="3"/>
    </row>
    <row r="43" spans="1:19" ht="13.5" customHeight="1" x14ac:dyDescent="0.2">
      <c r="A43" s="362"/>
      <c r="B43" s="367" t="e">
        <f>IF('Per7'!B43&lt;&gt;"",'Per7'!B43,"")</f>
        <v>#REF!</v>
      </c>
      <c r="C43" s="367"/>
      <c r="D43" s="129" t="e">
        <f>IF('Per7'!D43&lt;&gt;"",'Per7'!D43,"")</f>
        <v>#REF!</v>
      </c>
      <c r="E43" s="124" t="e">
        <f>'Per7'!E43</f>
        <v>#REF!</v>
      </c>
      <c r="F43" s="54" t="e">
        <f>'Per7'!F43</f>
        <v>#REF!</v>
      </c>
      <c r="G43" s="368" t="e">
        <f>IF(E43="Hourly",ROUND('Per7'!G43*1.03,2),ROUND('Per7'!G43*1.03,0))</f>
        <v>#REF!</v>
      </c>
      <c r="H43" s="369"/>
      <c r="I43" s="8"/>
      <c r="J43" s="59"/>
      <c r="K43" s="9" t="e">
        <f t="shared" si="4"/>
        <v>#REF!</v>
      </c>
      <c r="L43" s="10" t="e">
        <f t="shared" si="0"/>
        <v>#REF!</v>
      </c>
      <c r="M43" s="45" t="e">
        <f t="shared" si="1"/>
        <v>#REF!</v>
      </c>
      <c r="N43" s="45" t="e">
        <f t="shared" si="2"/>
        <v>#REF!</v>
      </c>
      <c r="O43" s="11" t="e">
        <f t="shared" si="3"/>
        <v>#REF!</v>
      </c>
      <c r="P43" s="74"/>
      <c r="Q43" s="17"/>
      <c r="S43" s="3"/>
    </row>
    <row r="44" spans="1:19" ht="13.5" customHeight="1" x14ac:dyDescent="0.2">
      <c r="A44" s="362"/>
      <c r="B44" s="367" t="e">
        <f>IF('Per7'!B44&lt;&gt;"",'Per7'!B44,"")</f>
        <v>#REF!</v>
      </c>
      <c r="C44" s="367"/>
      <c r="D44" s="129" t="e">
        <f>IF('Per7'!D44&lt;&gt;"",'Per7'!D44,"")</f>
        <v>#REF!</v>
      </c>
      <c r="E44" s="124" t="e">
        <f>'Per7'!E44</f>
        <v>#REF!</v>
      </c>
      <c r="F44" s="54" t="e">
        <f>'Per7'!F44</f>
        <v>#REF!</v>
      </c>
      <c r="G44" s="368" t="e">
        <f>IF(E44="Hourly",ROUND('Per7'!G44*1.03,2),ROUND('Per7'!G44*1.03,0))</f>
        <v>#REF!</v>
      </c>
      <c r="H44" s="369"/>
      <c r="I44" s="8"/>
      <c r="J44" s="59"/>
      <c r="K44" s="9" t="e">
        <f t="shared" si="4"/>
        <v>#REF!</v>
      </c>
      <c r="L44" s="10" t="e">
        <f t="shared" si="0"/>
        <v>#REF!</v>
      </c>
      <c r="M44" s="45" t="e">
        <f t="shared" si="1"/>
        <v>#REF!</v>
      </c>
      <c r="N44" s="45" t="e">
        <f t="shared" si="2"/>
        <v>#REF!</v>
      </c>
      <c r="O44" s="11" t="e">
        <f t="shared" si="3"/>
        <v>#REF!</v>
      </c>
      <c r="P44" s="74"/>
      <c r="Q44" s="17"/>
      <c r="S44" s="3"/>
    </row>
    <row r="45" spans="1:19" ht="13.5" customHeight="1" x14ac:dyDescent="0.2">
      <c r="A45" s="362"/>
      <c r="B45" s="367" t="e">
        <f>IF('Per7'!B45&lt;&gt;"",'Per7'!B45,"")</f>
        <v>#REF!</v>
      </c>
      <c r="C45" s="367"/>
      <c r="D45" s="129" t="e">
        <f>IF('Per7'!D45&lt;&gt;"",'Per7'!D45,"")</f>
        <v>#REF!</v>
      </c>
      <c r="E45" s="124" t="e">
        <f>'Per7'!E45</f>
        <v>#REF!</v>
      </c>
      <c r="F45" s="54" t="e">
        <f>'Per7'!F45</f>
        <v>#REF!</v>
      </c>
      <c r="G45" s="368" t="e">
        <f>IF(E45="Hourly",ROUND('Per7'!G45*1.03,2),ROUND('Per7'!G45*1.03,0))</f>
        <v>#REF!</v>
      </c>
      <c r="H45" s="369"/>
      <c r="I45" s="8"/>
      <c r="J45" s="59"/>
      <c r="K45" s="9" t="e">
        <f t="shared" si="4"/>
        <v>#REF!</v>
      </c>
      <c r="L45" s="10" t="e">
        <f t="shared" si="0"/>
        <v>#REF!</v>
      </c>
      <c r="M45" s="45" t="e">
        <f t="shared" si="1"/>
        <v>#REF!</v>
      </c>
      <c r="N45" s="45" t="e">
        <f t="shared" si="2"/>
        <v>#REF!</v>
      </c>
      <c r="O45" s="11" t="e">
        <f t="shared" si="3"/>
        <v>#REF!</v>
      </c>
      <c r="P45" s="74"/>
      <c r="Q45" s="17"/>
      <c r="S45" s="3"/>
    </row>
    <row r="46" spans="1:19" ht="13.5" customHeight="1" x14ac:dyDescent="0.2">
      <c r="A46" s="362"/>
      <c r="B46" s="367" t="e">
        <f>IF('Per7'!B46&lt;&gt;"",'Per7'!B46,"")</f>
        <v>#REF!</v>
      </c>
      <c r="C46" s="367"/>
      <c r="D46" s="129" t="e">
        <f>IF('Per7'!D46&lt;&gt;"",'Per7'!D46,"")</f>
        <v>#REF!</v>
      </c>
      <c r="E46" s="124" t="e">
        <f>'Per7'!E46</f>
        <v>#REF!</v>
      </c>
      <c r="F46" s="54" t="e">
        <f>'Per7'!F46</f>
        <v>#REF!</v>
      </c>
      <c r="G46" s="368" t="e">
        <f>IF(E46="Hourly",ROUND('Per7'!G46*1.03,2),ROUND('Per7'!G46*1.03,0))</f>
        <v>#REF!</v>
      </c>
      <c r="H46" s="369"/>
      <c r="I46" s="8"/>
      <c r="J46" s="59"/>
      <c r="K46" s="9" t="e">
        <f t="shared" si="4"/>
        <v>#REF!</v>
      </c>
      <c r="L46" s="10" t="e">
        <f t="shared" si="0"/>
        <v>#REF!</v>
      </c>
      <c r="M46" s="45" t="e">
        <f t="shared" si="1"/>
        <v>#REF!</v>
      </c>
      <c r="N46" s="45" t="e">
        <f t="shared" si="2"/>
        <v>#REF!</v>
      </c>
      <c r="O46" s="11" t="e">
        <f t="shared" si="3"/>
        <v>#REF!</v>
      </c>
      <c r="P46" s="74"/>
      <c r="Q46" s="17"/>
      <c r="S46" s="3"/>
    </row>
    <row r="47" spans="1:19" ht="13.5" customHeight="1" thickBot="1" x14ac:dyDescent="0.25">
      <c r="A47" s="362"/>
      <c r="B47" s="367" t="e">
        <f>IF('Per7'!B47&lt;&gt;"",'Per7'!B47,"")</f>
        <v>#REF!</v>
      </c>
      <c r="C47" s="367"/>
      <c r="D47" s="129" t="e">
        <f>IF('Per7'!D47&lt;&gt;"",'Per7'!D47,"")</f>
        <v>#REF!</v>
      </c>
      <c r="E47" s="124" t="e">
        <f>'Per7'!E47</f>
        <v>#REF!</v>
      </c>
      <c r="F47" s="54" t="e">
        <f>'Per7'!F47</f>
        <v>#REF!</v>
      </c>
      <c r="G47" s="368" t="e">
        <f>IF(E47="Hourly",ROUND('Per7'!G47*1.03,2),ROUND('Per7'!G47*1.03,0))</f>
        <v>#REF!</v>
      </c>
      <c r="H47" s="369"/>
      <c r="I47" s="8"/>
      <c r="J47" s="59"/>
      <c r="K47" s="9" t="e">
        <f t="shared" si="4"/>
        <v>#REF!</v>
      </c>
      <c r="L47" s="10" t="e">
        <f t="shared" si="0"/>
        <v>#REF!</v>
      </c>
      <c r="M47" s="45" t="e">
        <f t="shared" si="1"/>
        <v>#REF!</v>
      </c>
      <c r="N47" s="45" t="e">
        <f t="shared" si="2"/>
        <v>#REF!</v>
      </c>
      <c r="O47" s="11" t="e">
        <f t="shared" si="3"/>
        <v>#REF!</v>
      </c>
      <c r="P47" s="74"/>
      <c r="Q47" s="17" t="s">
        <v>205</v>
      </c>
      <c r="S47" s="3"/>
    </row>
    <row r="48" spans="1:19" ht="13.5" hidden="1" customHeight="1" x14ac:dyDescent="0.2">
      <c r="A48" s="362"/>
      <c r="B48" s="367" t="e">
        <f>IF('Per7'!B48&lt;&gt;"",'Per7'!B48,"")</f>
        <v>#REF!</v>
      </c>
      <c r="C48" s="367"/>
      <c r="D48" s="129" t="e">
        <f>IF('Per7'!D48&lt;&gt;"",'Per7'!D48,"")</f>
        <v>#REF!</v>
      </c>
      <c r="E48" s="124" t="e">
        <f>'Per7'!E48</f>
        <v>#REF!</v>
      </c>
      <c r="F48" s="54" t="e">
        <f>'Per7'!F48</f>
        <v>#REF!</v>
      </c>
      <c r="G48" s="368" t="e">
        <f>IF(E48="Hourly",ROUND('Per7'!G48*1.03,2),ROUND('Per7'!G48*1.03,0))</f>
        <v>#REF!</v>
      </c>
      <c r="H48" s="369"/>
      <c r="I48" s="8"/>
      <c r="J48" s="59"/>
      <c r="K48" s="9" t="e">
        <f t="shared" si="4"/>
        <v>#REF!</v>
      </c>
      <c r="L48" s="10" t="e">
        <f t="shared" si="0"/>
        <v>#REF!</v>
      </c>
      <c r="M48" s="45" t="e">
        <f t="shared" si="1"/>
        <v>#REF!</v>
      </c>
      <c r="N48" s="45" t="e">
        <f t="shared" si="2"/>
        <v>#REF!</v>
      </c>
      <c r="O48" s="11" t="e">
        <f t="shared" si="3"/>
        <v>#REF!</v>
      </c>
      <c r="P48" s="74"/>
      <c r="Q48" s="17"/>
      <c r="S48" s="3"/>
    </row>
    <row r="49" spans="1:19" ht="13.5" hidden="1" customHeight="1" x14ac:dyDescent="0.2">
      <c r="A49" s="362"/>
      <c r="B49" s="367" t="e">
        <f>IF('Per7'!B49&lt;&gt;"",'Per7'!B49,"")</f>
        <v>#REF!</v>
      </c>
      <c r="C49" s="367"/>
      <c r="D49" s="129" t="e">
        <f>IF('Per7'!D49&lt;&gt;"",'Per7'!D49,"")</f>
        <v>#REF!</v>
      </c>
      <c r="E49" s="124" t="e">
        <f>'Per7'!E49</f>
        <v>#REF!</v>
      </c>
      <c r="F49" s="54" t="e">
        <f>'Per7'!F49</f>
        <v>#REF!</v>
      </c>
      <c r="G49" s="368" t="e">
        <f>IF(E49="Hourly",ROUND('Per7'!G49*1.03,2),ROUND('Per7'!G49*1.03,0))</f>
        <v>#REF!</v>
      </c>
      <c r="H49" s="369"/>
      <c r="I49" s="8"/>
      <c r="J49" s="59"/>
      <c r="K49" s="9" t="e">
        <f t="shared" si="4"/>
        <v>#REF!</v>
      </c>
      <c r="L49" s="10" t="e">
        <f t="shared" si="0"/>
        <v>#REF!</v>
      </c>
      <c r="M49" s="45" t="e">
        <f t="shared" si="1"/>
        <v>#REF!</v>
      </c>
      <c r="N49" s="45" t="e">
        <f t="shared" si="2"/>
        <v>#REF!</v>
      </c>
      <c r="O49" s="11" t="e">
        <f t="shared" si="3"/>
        <v>#REF!</v>
      </c>
      <c r="P49" s="74"/>
      <c r="Q49" s="17"/>
      <c r="S49" s="3"/>
    </row>
    <row r="50" spans="1:19" ht="13.5" hidden="1" customHeight="1" x14ac:dyDescent="0.2">
      <c r="A50" s="362"/>
      <c r="B50" s="367" t="e">
        <f>IF('Per7'!B50&lt;&gt;"",'Per7'!B50,"")</f>
        <v>#REF!</v>
      </c>
      <c r="C50" s="367"/>
      <c r="D50" s="129" t="e">
        <f>IF('Per7'!D50&lt;&gt;"",'Per7'!D50,"")</f>
        <v>#REF!</v>
      </c>
      <c r="E50" s="124" t="e">
        <f>'Per7'!E50</f>
        <v>#REF!</v>
      </c>
      <c r="F50" s="54" t="e">
        <f>'Per7'!F50</f>
        <v>#REF!</v>
      </c>
      <c r="G50" s="368" t="e">
        <f>IF(E50="Hourly",ROUND('Per7'!G50*1.03,2),ROUND('Per7'!G50*1.03,0))</f>
        <v>#REF!</v>
      </c>
      <c r="H50" s="369"/>
      <c r="I50" s="8"/>
      <c r="J50" s="59"/>
      <c r="K50" s="9" t="e">
        <f t="shared" si="4"/>
        <v>#REF!</v>
      </c>
      <c r="L50" s="10" t="e">
        <f t="shared" si="0"/>
        <v>#REF!</v>
      </c>
      <c r="M50" s="45" t="e">
        <f t="shared" si="1"/>
        <v>#REF!</v>
      </c>
      <c r="N50" s="45" t="e">
        <f t="shared" si="2"/>
        <v>#REF!</v>
      </c>
      <c r="O50" s="11" t="e">
        <f t="shared" si="3"/>
        <v>#REF!</v>
      </c>
      <c r="P50" s="74"/>
      <c r="Q50" s="17"/>
      <c r="S50" s="3"/>
    </row>
    <row r="51" spans="1:19" ht="13.5" hidden="1" customHeight="1" x14ac:dyDescent="0.2">
      <c r="A51" s="362"/>
      <c r="B51" s="367" t="e">
        <f>IF('Per7'!B51&lt;&gt;"",'Per7'!B51,"")</f>
        <v>#REF!</v>
      </c>
      <c r="C51" s="367"/>
      <c r="D51" s="129" t="e">
        <f>IF('Per7'!D51&lt;&gt;"",'Per7'!D51,"")</f>
        <v>#REF!</v>
      </c>
      <c r="E51" s="124" t="e">
        <f>'Per7'!E51</f>
        <v>#REF!</v>
      </c>
      <c r="F51" s="54" t="e">
        <f>'Per7'!F51</f>
        <v>#REF!</v>
      </c>
      <c r="G51" s="368" t="e">
        <f>IF(E51="Hourly",ROUND('Per7'!G51*1.03,2),ROUND('Per7'!G51*1.03,0))</f>
        <v>#REF!</v>
      </c>
      <c r="H51" s="369"/>
      <c r="I51" s="8"/>
      <c r="J51" s="59"/>
      <c r="K51" s="9" t="e">
        <f t="shared" si="4"/>
        <v>#REF!</v>
      </c>
      <c r="L51" s="10" t="e">
        <f t="shared" si="0"/>
        <v>#REF!</v>
      </c>
      <c r="M51" s="45" t="e">
        <f t="shared" si="1"/>
        <v>#REF!</v>
      </c>
      <c r="N51" s="45" t="e">
        <f t="shared" si="2"/>
        <v>#REF!</v>
      </c>
      <c r="O51" s="11" t="e">
        <f t="shared" si="3"/>
        <v>#REF!</v>
      </c>
      <c r="P51" s="74"/>
      <c r="Q51" s="17"/>
      <c r="S51" s="3"/>
    </row>
    <row r="52" spans="1:19" ht="13.5" hidden="1" customHeight="1" x14ac:dyDescent="0.2">
      <c r="A52" s="362"/>
      <c r="B52" s="367" t="e">
        <f>IF('Per7'!B52&lt;&gt;"",'Per7'!B52,"")</f>
        <v>#REF!</v>
      </c>
      <c r="C52" s="367"/>
      <c r="D52" s="129" t="e">
        <f>IF('Per7'!D52&lt;&gt;"",'Per7'!D52,"")</f>
        <v>#REF!</v>
      </c>
      <c r="E52" s="124" t="e">
        <f>'Per7'!E52</f>
        <v>#REF!</v>
      </c>
      <c r="F52" s="54" t="e">
        <f>'Per7'!F52</f>
        <v>#REF!</v>
      </c>
      <c r="G52" s="368" t="e">
        <f>IF(E52="Hourly",ROUND('Per7'!G52*1.03,2),ROUND('Per7'!G52*1.03,0))</f>
        <v>#REF!</v>
      </c>
      <c r="H52" s="369"/>
      <c r="I52" s="8"/>
      <c r="J52" s="59"/>
      <c r="K52" s="9" t="e">
        <f t="shared" si="4"/>
        <v>#REF!</v>
      </c>
      <c r="L52" s="10" t="e">
        <f t="shared" si="0"/>
        <v>#REF!</v>
      </c>
      <c r="M52" s="45" t="e">
        <f t="shared" si="1"/>
        <v>#REF!</v>
      </c>
      <c r="N52" s="45" t="e">
        <f t="shared" si="2"/>
        <v>#REF!</v>
      </c>
      <c r="O52" s="11" t="e">
        <f t="shared" si="3"/>
        <v>#REF!</v>
      </c>
      <c r="P52" s="74"/>
      <c r="Q52" s="17"/>
      <c r="S52" s="3"/>
    </row>
    <row r="53" spans="1:19" ht="13.5" hidden="1" customHeight="1" x14ac:dyDescent="0.2">
      <c r="A53" s="362"/>
      <c r="B53" s="367" t="e">
        <f>IF('Per7'!B53&lt;&gt;"",'Per7'!B53,"")</f>
        <v>#REF!</v>
      </c>
      <c r="C53" s="367"/>
      <c r="D53" s="129" t="e">
        <f>IF('Per7'!D53&lt;&gt;"",'Per7'!D53,"")</f>
        <v>#REF!</v>
      </c>
      <c r="E53" s="124" t="e">
        <f>'Per7'!E53</f>
        <v>#REF!</v>
      </c>
      <c r="F53" s="54" t="e">
        <f>'Per7'!F53</f>
        <v>#REF!</v>
      </c>
      <c r="G53" s="368" t="e">
        <f>IF(E53="Hourly",ROUND('Per7'!G53*1.03,2),ROUND('Per7'!G53*1.03,0))</f>
        <v>#REF!</v>
      </c>
      <c r="H53" s="369"/>
      <c r="I53" s="8"/>
      <c r="J53" s="59"/>
      <c r="K53" s="9" t="e">
        <f t="shared" si="4"/>
        <v>#REF!</v>
      </c>
      <c r="L53" s="10" t="e">
        <f t="shared" si="0"/>
        <v>#REF!</v>
      </c>
      <c r="M53" s="45" t="e">
        <f t="shared" si="1"/>
        <v>#REF!</v>
      </c>
      <c r="N53" s="45" t="e">
        <f t="shared" si="2"/>
        <v>#REF!</v>
      </c>
      <c r="O53" s="11" t="e">
        <f t="shared" si="3"/>
        <v>#REF!</v>
      </c>
      <c r="P53" s="74"/>
      <c r="Q53" s="17"/>
      <c r="S53" s="3"/>
    </row>
    <row r="54" spans="1:19" ht="13.5" hidden="1" customHeight="1" x14ac:dyDescent="0.2">
      <c r="A54" s="362"/>
      <c r="B54" s="367" t="e">
        <f>IF('Per7'!B54&lt;&gt;"",'Per7'!B54,"")</f>
        <v>#REF!</v>
      </c>
      <c r="C54" s="367"/>
      <c r="D54" s="129" t="e">
        <f>IF('Per7'!D54&lt;&gt;"",'Per7'!D54,"")</f>
        <v>#REF!</v>
      </c>
      <c r="E54" s="124" t="e">
        <f>'Per7'!E54</f>
        <v>#REF!</v>
      </c>
      <c r="F54" s="54" t="e">
        <f>'Per7'!F54</f>
        <v>#REF!</v>
      </c>
      <c r="G54" s="368" t="e">
        <f>IF(E54="Hourly",ROUND('Per7'!G54*1.03,2),ROUND('Per7'!G54*1.03,0))</f>
        <v>#REF!</v>
      </c>
      <c r="H54" s="369"/>
      <c r="I54" s="8"/>
      <c r="J54" s="59"/>
      <c r="K54" s="9" t="e">
        <f t="shared" si="4"/>
        <v>#REF!</v>
      </c>
      <c r="L54" s="10" t="e">
        <f t="shared" si="0"/>
        <v>#REF!</v>
      </c>
      <c r="M54" s="45" t="e">
        <f t="shared" si="1"/>
        <v>#REF!</v>
      </c>
      <c r="N54" s="45" t="e">
        <f t="shared" si="2"/>
        <v>#REF!</v>
      </c>
      <c r="O54" s="11" t="e">
        <f t="shared" si="3"/>
        <v>#REF!</v>
      </c>
      <c r="P54" s="74"/>
      <c r="Q54" s="17"/>
      <c r="S54" s="3"/>
    </row>
    <row r="55" spans="1:19" ht="13.5" hidden="1" customHeight="1" x14ac:dyDescent="0.2">
      <c r="A55" s="362"/>
      <c r="B55" s="367" t="e">
        <f>IF('Per7'!B55&lt;&gt;"",'Per7'!B55,"")</f>
        <v>#REF!</v>
      </c>
      <c r="C55" s="367"/>
      <c r="D55" s="129" t="e">
        <f>IF('Per7'!D55&lt;&gt;"",'Per7'!D55,"")</f>
        <v>#REF!</v>
      </c>
      <c r="E55" s="124" t="e">
        <f>'Per7'!E55</f>
        <v>#REF!</v>
      </c>
      <c r="F55" s="54" t="e">
        <f>'Per7'!F55</f>
        <v>#REF!</v>
      </c>
      <c r="G55" s="368" t="e">
        <f>IF(E55="Hourly",ROUND('Per7'!G55*1.03,2),ROUND('Per7'!G55*1.03,0))</f>
        <v>#REF!</v>
      </c>
      <c r="H55" s="369"/>
      <c r="I55" s="8"/>
      <c r="J55" s="59"/>
      <c r="K55" s="9" t="e">
        <f t="shared" si="4"/>
        <v>#REF!</v>
      </c>
      <c r="L55" s="10" t="e">
        <f t="shared" si="0"/>
        <v>#REF!</v>
      </c>
      <c r="M55" s="45" t="e">
        <f t="shared" si="1"/>
        <v>#REF!</v>
      </c>
      <c r="N55" s="45" t="e">
        <f t="shared" si="2"/>
        <v>#REF!</v>
      </c>
      <c r="O55" s="11" t="e">
        <f t="shared" si="3"/>
        <v>#REF!</v>
      </c>
      <c r="P55" s="74"/>
      <c r="Q55" s="17"/>
      <c r="S55" s="3"/>
    </row>
    <row r="56" spans="1:19" ht="13.5" hidden="1" customHeight="1" x14ac:dyDescent="0.2">
      <c r="A56" s="362"/>
      <c r="B56" s="367" t="e">
        <f>IF('Per7'!B56&lt;&gt;"",'Per7'!B56,"")</f>
        <v>#REF!</v>
      </c>
      <c r="C56" s="367"/>
      <c r="D56" s="129" t="e">
        <f>IF('Per7'!D56&lt;&gt;"",'Per7'!D56,"")</f>
        <v>#REF!</v>
      </c>
      <c r="E56" s="124" t="e">
        <f>'Per7'!E56</f>
        <v>#REF!</v>
      </c>
      <c r="F56" s="54" t="e">
        <f>'Per7'!F56</f>
        <v>#REF!</v>
      </c>
      <c r="G56" s="368" t="e">
        <f>IF(E56="Hourly",ROUND('Per7'!G56*1.03,2),ROUND('Per7'!G56*1.03,0))</f>
        <v>#REF!</v>
      </c>
      <c r="H56" s="369"/>
      <c r="I56" s="8"/>
      <c r="J56" s="59"/>
      <c r="K56" s="9" t="e">
        <f t="shared" si="4"/>
        <v>#REF!</v>
      </c>
      <c r="L56" s="10" t="e">
        <f t="shared" si="0"/>
        <v>#REF!</v>
      </c>
      <c r="M56" s="45" t="e">
        <f t="shared" si="1"/>
        <v>#REF!</v>
      </c>
      <c r="N56" s="45" t="e">
        <f t="shared" si="2"/>
        <v>#REF!</v>
      </c>
      <c r="O56" s="11" t="e">
        <f t="shared" si="3"/>
        <v>#REF!</v>
      </c>
      <c r="P56" s="74"/>
      <c r="Q56" s="17"/>
      <c r="S56" s="3"/>
    </row>
    <row r="57" spans="1:19" ht="13.5" hidden="1" customHeight="1" x14ac:dyDescent="0.2">
      <c r="A57" s="362"/>
      <c r="B57" s="367" t="e">
        <f>IF('Per7'!B57&lt;&gt;"",'Per7'!B57,"")</f>
        <v>#REF!</v>
      </c>
      <c r="C57" s="367"/>
      <c r="D57" s="129" t="e">
        <f>IF('Per7'!D57&lt;&gt;"",'Per7'!D57,"")</f>
        <v>#REF!</v>
      </c>
      <c r="E57" s="124" t="e">
        <f>'Per7'!E57</f>
        <v>#REF!</v>
      </c>
      <c r="F57" s="54" t="e">
        <f>'Per7'!F57</f>
        <v>#REF!</v>
      </c>
      <c r="G57" s="368" t="e">
        <f>IF(E57="Hourly",ROUND('Per7'!G57*1.03,2),ROUND('Per7'!G57*1.03,0))</f>
        <v>#REF!</v>
      </c>
      <c r="H57" s="369"/>
      <c r="I57" s="8"/>
      <c r="J57" s="59"/>
      <c r="K57" s="9" t="e">
        <f t="shared" si="4"/>
        <v>#REF!</v>
      </c>
      <c r="L57" s="10" t="e">
        <f t="shared" si="0"/>
        <v>#REF!</v>
      </c>
      <c r="M57" s="45" t="e">
        <f t="shared" si="1"/>
        <v>#REF!</v>
      </c>
      <c r="N57" s="45" t="e">
        <f t="shared" si="2"/>
        <v>#REF!</v>
      </c>
      <c r="O57" s="11" t="e">
        <f t="shared" si="3"/>
        <v>#REF!</v>
      </c>
      <c r="P57" s="74"/>
      <c r="Q57" s="17"/>
      <c r="S57" s="3"/>
    </row>
    <row r="58" spans="1:19" ht="13.5" hidden="1" customHeight="1" x14ac:dyDescent="0.2">
      <c r="A58" s="362"/>
      <c r="B58" s="367" t="e">
        <f>IF('Per7'!B58&lt;&gt;"",'Per7'!B58,"")</f>
        <v>#REF!</v>
      </c>
      <c r="C58" s="367"/>
      <c r="D58" s="129" t="e">
        <f>IF('Per7'!D58&lt;&gt;"",'Per7'!D58,"")</f>
        <v>#REF!</v>
      </c>
      <c r="E58" s="124" t="e">
        <f>'Per7'!E58</f>
        <v>#REF!</v>
      </c>
      <c r="F58" s="54" t="e">
        <f>'Per7'!F58</f>
        <v>#REF!</v>
      </c>
      <c r="G58" s="368" t="e">
        <f>IF(E58="Hourly",ROUND('Per7'!G58*1.03,2),ROUND('Per7'!G58*1.03,0))</f>
        <v>#REF!</v>
      </c>
      <c r="H58" s="369"/>
      <c r="I58" s="8"/>
      <c r="J58" s="59"/>
      <c r="K58" s="9" t="e">
        <f t="shared" si="4"/>
        <v>#REF!</v>
      </c>
      <c r="L58" s="10" t="e">
        <f t="shared" si="0"/>
        <v>#REF!</v>
      </c>
      <c r="M58" s="45" t="e">
        <f t="shared" si="1"/>
        <v>#REF!</v>
      </c>
      <c r="N58" s="45" t="e">
        <f t="shared" si="2"/>
        <v>#REF!</v>
      </c>
      <c r="O58" s="11" t="e">
        <f t="shared" si="3"/>
        <v>#REF!</v>
      </c>
      <c r="P58" s="74"/>
      <c r="Q58" s="17"/>
      <c r="S58" s="3"/>
    </row>
    <row r="59" spans="1:19" ht="13.5" hidden="1" customHeight="1" x14ac:dyDescent="0.2">
      <c r="A59" s="362"/>
      <c r="B59" s="367" t="e">
        <f>IF('Per7'!B59&lt;&gt;"",'Per7'!B59,"")</f>
        <v>#REF!</v>
      </c>
      <c r="C59" s="367"/>
      <c r="D59" s="129" t="e">
        <f>IF('Per7'!D59&lt;&gt;"",'Per7'!D59,"")</f>
        <v>#REF!</v>
      </c>
      <c r="E59" s="124" t="e">
        <f>'Per7'!E59</f>
        <v>#REF!</v>
      </c>
      <c r="F59" s="54" t="e">
        <f>'Per7'!F59</f>
        <v>#REF!</v>
      </c>
      <c r="G59" s="368" t="e">
        <f>IF(E59="Hourly",ROUND('Per7'!G59*1.03,2),ROUND('Per7'!G59*1.03,0))</f>
        <v>#REF!</v>
      </c>
      <c r="H59" s="369"/>
      <c r="I59" s="8"/>
      <c r="J59" s="59"/>
      <c r="K59" s="9" t="e">
        <f t="shared" si="4"/>
        <v>#REF!</v>
      </c>
      <c r="L59" s="10" t="e">
        <f t="shared" si="0"/>
        <v>#REF!</v>
      </c>
      <c r="M59" s="45" t="e">
        <f t="shared" si="1"/>
        <v>#REF!</v>
      </c>
      <c r="N59" s="45" t="e">
        <f t="shared" si="2"/>
        <v>#REF!</v>
      </c>
      <c r="O59" s="11" t="e">
        <f t="shared" si="3"/>
        <v>#REF!</v>
      </c>
      <c r="P59" s="74"/>
      <c r="Q59" s="17"/>
      <c r="S59" s="3"/>
    </row>
    <row r="60" spans="1:19" ht="13.5" hidden="1" customHeight="1" x14ac:dyDescent="0.2">
      <c r="A60" s="362"/>
      <c r="B60" s="367" t="e">
        <f>IF('Per7'!B60&lt;&gt;"",'Per7'!B60,"")</f>
        <v>#REF!</v>
      </c>
      <c r="C60" s="367"/>
      <c r="D60" s="129" t="e">
        <f>IF('Per7'!D60&lt;&gt;"",'Per7'!D60,"")</f>
        <v>#REF!</v>
      </c>
      <c r="E60" s="124" t="e">
        <f>'Per7'!E60</f>
        <v>#REF!</v>
      </c>
      <c r="F60" s="54" t="e">
        <f>'Per7'!F60</f>
        <v>#REF!</v>
      </c>
      <c r="G60" s="368" t="e">
        <f>IF(E60="Hourly",ROUND('Per7'!G60*1.03,2),ROUND('Per7'!G60*1.03,0))</f>
        <v>#REF!</v>
      </c>
      <c r="H60" s="369"/>
      <c r="I60" s="8"/>
      <c r="J60" s="59"/>
      <c r="K60" s="9" t="e">
        <f t="shared" si="4"/>
        <v>#REF!</v>
      </c>
      <c r="L60" s="10" t="e">
        <f t="shared" si="0"/>
        <v>#REF!</v>
      </c>
      <c r="M60" s="45" t="e">
        <f t="shared" si="1"/>
        <v>#REF!</v>
      </c>
      <c r="N60" s="45" t="e">
        <f t="shared" si="2"/>
        <v>#REF!</v>
      </c>
      <c r="O60" s="11" t="e">
        <f t="shared" si="3"/>
        <v>#REF!</v>
      </c>
      <c r="P60" s="74"/>
      <c r="Q60" s="17"/>
      <c r="S60" s="3"/>
    </row>
    <row r="61" spans="1:19" ht="13.5" hidden="1" customHeight="1" x14ac:dyDescent="0.2">
      <c r="A61" s="362"/>
      <c r="B61" s="367" t="e">
        <f>IF('Per7'!B61&lt;&gt;"",'Per7'!B61,"")</f>
        <v>#REF!</v>
      </c>
      <c r="C61" s="367"/>
      <c r="D61" s="129" t="e">
        <f>IF('Per7'!D61&lt;&gt;"",'Per7'!D61,"")</f>
        <v>#REF!</v>
      </c>
      <c r="E61" s="124" t="e">
        <f>'Per7'!E61</f>
        <v>#REF!</v>
      </c>
      <c r="F61" s="54" t="e">
        <f>'Per7'!F61</f>
        <v>#REF!</v>
      </c>
      <c r="G61" s="368" t="e">
        <f>IF(E61="Hourly",ROUND('Per7'!G61*1.03,2),ROUND('Per7'!G61*1.03,0))</f>
        <v>#REF!</v>
      </c>
      <c r="H61" s="369"/>
      <c r="I61" s="8"/>
      <c r="J61" s="59"/>
      <c r="K61" s="9" t="e">
        <f t="shared" si="4"/>
        <v>#REF!</v>
      </c>
      <c r="L61" s="10" t="e">
        <f t="shared" si="0"/>
        <v>#REF!</v>
      </c>
      <c r="M61" s="45" t="e">
        <f t="shared" si="1"/>
        <v>#REF!</v>
      </c>
      <c r="N61" s="45" t="e">
        <f t="shared" si="2"/>
        <v>#REF!</v>
      </c>
      <c r="O61" s="11" t="e">
        <f t="shared" si="3"/>
        <v>#REF!</v>
      </c>
      <c r="P61" s="74"/>
      <c r="Q61" s="17"/>
      <c r="S61" s="3"/>
    </row>
    <row r="62" spans="1:19" ht="13.5" hidden="1" customHeight="1" x14ac:dyDescent="0.2">
      <c r="A62" s="362"/>
      <c r="B62" s="367" t="e">
        <f>IF('Per7'!B62&lt;&gt;"",'Per7'!B62,"")</f>
        <v>#REF!</v>
      </c>
      <c r="C62" s="367"/>
      <c r="D62" s="129" t="e">
        <f>IF('Per7'!D62&lt;&gt;"",'Per7'!D62,"")</f>
        <v>#REF!</v>
      </c>
      <c r="E62" s="124" t="e">
        <f>'Per7'!E62</f>
        <v>#REF!</v>
      </c>
      <c r="F62" s="54" t="e">
        <f>'Per7'!F62</f>
        <v>#REF!</v>
      </c>
      <c r="G62" s="368" t="e">
        <f>IF(E62="Hourly",ROUND('Per7'!G62*1.03,2),ROUND('Per7'!G62*1.03,0))</f>
        <v>#REF!</v>
      </c>
      <c r="H62" s="369"/>
      <c r="I62" s="8"/>
      <c r="J62" s="59"/>
      <c r="K62" s="9" t="e">
        <f t="shared" si="4"/>
        <v>#REF!</v>
      </c>
      <c r="L62" s="10" t="e">
        <f t="shared" si="0"/>
        <v>#REF!</v>
      </c>
      <c r="M62" s="45" t="e">
        <f t="shared" si="1"/>
        <v>#REF!</v>
      </c>
      <c r="N62" s="45" t="e">
        <f t="shared" si="2"/>
        <v>#REF!</v>
      </c>
      <c r="O62" s="11" t="e">
        <f t="shared" si="3"/>
        <v>#REF!</v>
      </c>
      <c r="P62" s="74"/>
      <c r="S62" s="3"/>
    </row>
    <row r="63" spans="1:19" ht="13.5" hidden="1" customHeight="1" thickBot="1" x14ac:dyDescent="0.25">
      <c r="A63" s="362"/>
      <c r="B63" s="367" t="e">
        <f>IF('Per7'!B63&lt;&gt;"",'Per7'!B63,"")</f>
        <v>#REF!</v>
      </c>
      <c r="C63" s="367"/>
      <c r="D63" s="129" t="e">
        <f>IF('Per7'!D63&lt;&gt;"",'Per7'!D63,"")</f>
        <v>#REF!</v>
      </c>
      <c r="E63" s="124" t="e">
        <f>'Per7'!E63</f>
        <v>#REF!</v>
      </c>
      <c r="F63" s="54" t="e">
        <f>'Per7'!F63</f>
        <v>#REF!</v>
      </c>
      <c r="G63" s="368" t="e">
        <f>IF(E63="Hourly",ROUND('Per7'!G63*1.03,2),ROUND('Per7'!G63*1.03,0))</f>
        <v>#REF!</v>
      </c>
      <c r="H63" s="369"/>
      <c r="I63" s="8"/>
      <c r="J63" s="59"/>
      <c r="K63" s="9" t="e">
        <f t="shared" si="4"/>
        <v>#REF!</v>
      </c>
      <c r="L63" s="10" t="e">
        <f t="shared" si="0"/>
        <v>#REF!</v>
      </c>
      <c r="M63" s="45" t="e">
        <f t="shared" si="1"/>
        <v>#REF!</v>
      </c>
      <c r="N63" s="45" t="e">
        <f t="shared" si="2"/>
        <v>#REF!</v>
      </c>
      <c r="O63" s="11" t="e">
        <f t="shared" si="3"/>
        <v>#REF!</v>
      </c>
      <c r="P63" s="74"/>
      <c r="S63" s="3"/>
    </row>
    <row r="64" spans="1:19" ht="13.5" customHeight="1" x14ac:dyDescent="0.2">
      <c r="A64" s="362"/>
      <c r="B64" s="372" t="s">
        <v>24</v>
      </c>
      <c r="C64" s="372"/>
      <c r="D64" s="372"/>
      <c r="E64" s="372"/>
      <c r="F64" s="372"/>
      <c r="G64" s="372"/>
      <c r="H64" s="372"/>
      <c r="I64" s="372"/>
      <c r="J64" s="372"/>
      <c r="K64" s="372"/>
      <c r="L64" s="372"/>
      <c r="M64" s="372"/>
      <c r="N64" s="50" t="s">
        <v>0</v>
      </c>
      <c r="O64" s="20">
        <f>SUM(O65:O66)</f>
        <v>0</v>
      </c>
      <c r="P64" s="75"/>
    </row>
    <row r="65" spans="1:17" ht="13.5" customHeight="1" x14ac:dyDescent="0.2">
      <c r="A65" s="362"/>
      <c r="B65" s="367" t="s">
        <v>33</v>
      </c>
      <c r="C65" s="367"/>
      <c r="D65" s="367"/>
      <c r="E65" s="367"/>
      <c r="F65" s="367"/>
      <c r="G65" s="367"/>
      <c r="H65" s="367"/>
      <c r="I65" s="367"/>
      <c r="J65" s="367"/>
      <c r="K65" s="367"/>
      <c r="L65" s="367"/>
      <c r="M65" s="367"/>
      <c r="N65" s="370"/>
      <c r="O65" s="14"/>
      <c r="P65" s="76"/>
    </row>
    <row r="66" spans="1:17" ht="13.5" customHeight="1" thickBot="1" x14ac:dyDescent="0.25">
      <c r="A66" s="362"/>
      <c r="B66" s="367" t="s">
        <v>48</v>
      </c>
      <c r="C66" s="367"/>
      <c r="D66" s="367"/>
      <c r="E66" s="367"/>
      <c r="F66" s="367"/>
      <c r="G66" s="367"/>
      <c r="H66" s="367"/>
      <c r="I66" s="367"/>
      <c r="J66" s="367"/>
      <c r="K66" s="367"/>
      <c r="L66" s="367"/>
      <c r="M66" s="367"/>
      <c r="N66" s="370"/>
      <c r="O66" s="51"/>
      <c r="P66" s="76"/>
    </row>
    <row r="67" spans="1:17" ht="13.5" customHeight="1" x14ac:dyDescent="0.2">
      <c r="A67" s="362"/>
      <c r="B67" s="372" t="s">
        <v>52</v>
      </c>
      <c r="C67" s="372"/>
      <c r="D67" s="372"/>
      <c r="E67" s="372"/>
      <c r="F67" s="372"/>
      <c r="G67" s="372"/>
      <c r="H67" s="372"/>
      <c r="I67" s="372"/>
      <c r="J67" s="372"/>
      <c r="K67" s="372"/>
      <c r="L67" s="372"/>
      <c r="M67" s="372"/>
      <c r="N67" s="50" t="s">
        <v>0</v>
      </c>
      <c r="O67" s="20">
        <f>SUM(O68:O77)</f>
        <v>0</v>
      </c>
      <c r="P67" s="75"/>
    </row>
    <row r="68" spans="1:17" ht="13.5" customHeight="1" x14ac:dyDescent="0.2">
      <c r="A68" s="362"/>
      <c r="B68" s="367" t="s">
        <v>34</v>
      </c>
      <c r="C68" s="367"/>
      <c r="D68" s="367"/>
      <c r="E68" s="367"/>
      <c r="F68" s="367"/>
      <c r="G68" s="367"/>
      <c r="H68" s="367"/>
      <c r="I68" s="367"/>
      <c r="J68" s="367"/>
      <c r="K68" s="367"/>
      <c r="L68" s="367"/>
      <c r="M68" s="367"/>
      <c r="N68" s="370"/>
      <c r="O68" s="14"/>
      <c r="P68" s="76"/>
    </row>
    <row r="69" spans="1:17" ht="13.5" customHeight="1" x14ac:dyDescent="0.2">
      <c r="A69" s="362"/>
      <c r="B69" s="367" t="s">
        <v>44</v>
      </c>
      <c r="C69" s="367"/>
      <c r="D69" s="367"/>
      <c r="E69" s="367"/>
      <c r="F69" s="367"/>
      <c r="G69" s="367"/>
      <c r="H69" s="367"/>
      <c r="I69" s="367"/>
      <c r="J69" s="367"/>
      <c r="K69" s="367"/>
      <c r="L69" s="367"/>
      <c r="M69" s="367"/>
      <c r="N69" s="370"/>
      <c r="O69" s="16"/>
      <c r="P69" s="76"/>
    </row>
    <row r="70" spans="1:17" ht="13.5" customHeight="1" x14ac:dyDescent="0.2">
      <c r="A70" s="362"/>
      <c r="B70" s="367" t="s">
        <v>27</v>
      </c>
      <c r="C70" s="367"/>
      <c r="D70" s="367"/>
      <c r="E70" s="367"/>
      <c r="F70" s="367"/>
      <c r="G70" s="367"/>
      <c r="H70" s="367"/>
      <c r="I70" s="367"/>
      <c r="J70" s="367"/>
      <c r="K70" s="367"/>
      <c r="L70" s="367"/>
      <c r="M70" s="367"/>
      <c r="N70" s="370"/>
      <c r="O70" s="16"/>
      <c r="P70" s="76"/>
    </row>
    <row r="71" spans="1:17" ht="13.5" customHeight="1" x14ac:dyDescent="0.2">
      <c r="A71" s="362"/>
      <c r="B71" s="367" t="s">
        <v>35</v>
      </c>
      <c r="C71" s="367"/>
      <c r="D71" s="367"/>
      <c r="E71" s="367"/>
      <c r="F71" s="367"/>
      <c r="G71" s="367"/>
      <c r="H71" s="367"/>
      <c r="I71" s="367"/>
      <c r="J71" s="367"/>
      <c r="K71" s="367"/>
      <c r="L71" s="367"/>
      <c r="M71" s="367"/>
      <c r="N71" s="370"/>
      <c r="O71" s="16"/>
      <c r="P71" s="76"/>
    </row>
    <row r="72" spans="1:17" ht="13.5" customHeight="1" x14ac:dyDescent="0.2">
      <c r="A72" s="362"/>
      <c r="B72" s="47" t="s">
        <v>49</v>
      </c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8"/>
      <c r="O72" s="16"/>
      <c r="P72" s="76"/>
    </row>
    <row r="73" spans="1:17" ht="13.5" customHeight="1" x14ac:dyDescent="0.2">
      <c r="A73" s="362"/>
      <c r="B73" s="47" t="s">
        <v>50</v>
      </c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8"/>
      <c r="O73" s="16"/>
      <c r="P73" s="76"/>
    </row>
    <row r="74" spans="1:17" ht="13.5" customHeight="1" x14ac:dyDescent="0.2">
      <c r="A74" s="362"/>
      <c r="B74" s="371" t="s">
        <v>181</v>
      </c>
      <c r="C74" s="367"/>
      <c r="D74" s="367"/>
      <c r="E74" s="367"/>
      <c r="F74" s="367"/>
      <c r="G74" s="367"/>
      <c r="H74" s="367"/>
      <c r="I74" s="367"/>
      <c r="J74" s="367"/>
      <c r="K74" s="367"/>
      <c r="L74" s="367"/>
      <c r="M74" s="367"/>
      <c r="N74" s="370"/>
      <c r="O74" s="15"/>
      <c r="P74" s="76"/>
      <c r="Q74" s="17" t="s">
        <v>212</v>
      </c>
    </row>
    <row r="75" spans="1:17" ht="13.5" customHeight="1" x14ac:dyDescent="0.2">
      <c r="A75" s="362"/>
      <c r="B75" s="367" t="s">
        <v>80</v>
      </c>
      <c r="C75" s="367"/>
      <c r="D75" s="367"/>
      <c r="E75" s="367"/>
      <c r="F75" s="367"/>
      <c r="G75" s="367"/>
      <c r="H75" s="367"/>
      <c r="I75" s="367"/>
      <c r="J75" s="367"/>
      <c r="K75" s="367"/>
      <c r="L75" s="367"/>
      <c r="M75" s="367"/>
      <c r="N75" s="370"/>
      <c r="O75" s="15"/>
      <c r="P75" s="76"/>
    </row>
    <row r="76" spans="1:17" ht="13.5" customHeight="1" x14ac:dyDescent="0.2">
      <c r="A76" s="362"/>
      <c r="B76" s="379" t="s">
        <v>76</v>
      </c>
      <c r="C76" s="380"/>
      <c r="D76" s="380"/>
      <c r="E76" s="380"/>
      <c r="F76" s="380"/>
      <c r="G76" s="380"/>
      <c r="H76" s="380"/>
      <c r="I76" s="380"/>
      <c r="J76" s="380"/>
      <c r="K76" s="380"/>
      <c r="L76" s="380"/>
      <c r="M76" s="380"/>
      <c r="N76" s="380"/>
      <c r="O76" s="125"/>
      <c r="P76" s="76"/>
    </row>
    <row r="77" spans="1:17" ht="13.5" customHeight="1" thickBot="1" x14ac:dyDescent="0.25">
      <c r="A77" s="363"/>
      <c r="B77" s="381" t="s">
        <v>188</v>
      </c>
      <c r="C77" s="373"/>
      <c r="D77" s="373"/>
      <c r="E77" s="373"/>
      <c r="F77" s="373"/>
      <c r="G77" s="373"/>
      <c r="H77" s="373"/>
      <c r="I77" s="373"/>
      <c r="J77" s="373"/>
      <c r="K77" s="373"/>
      <c r="L77" s="373"/>
      <c r="M77" s="373"/>
      <c r="N77" s="374"/>
      <c r="O77" s="19"/>
      <c r="P77" s="76"/>
    </row>
    <row r="78" spans="1:17" ht="18" customHeight="1" thickBot="1" x14ac:dyDescent="0.25">
      <c r="A78" s="382"/>
      <c r="B78" s="382"/>
      <c r="C78" s="382"/>
      <c r="D78" s="382"/>
      <c r="E78" s="382"/>
      <c r="F78" s="382"/>
      <c r="G78" s="382"/>
      <c r="H78" s="382"/>
      <c r="I78" s="382"/>
      <c r="J78" s="382"/>
      <c r="K78" s="382"/>
      <c r="L78" s="382"/>
      <c r="M78" s="382"/>
      <c r="N78" s="382"/>
      <c r="O78" s="382"/>
      <c r="P78" s="77"/>
    </row>
    <row r="79" spans="1:17" ht="13.5" customHeight="1" x14ac:dyDescent="0.2">
      <c r="A79" s="361" t="s">
        <v>39</v>
      </c>
      <c r="B79" s="383" t="s">
        <v>64</v>
      </c>
      <c r="C79" s="383"/>
      <c r="D79" s="383"/>
      <c r="E79" s="383"/>
      <c r="F79" s="383"/>
      <c r="G79" s="383"/>
      <c r="H79" s="383"/>
      <c r="I79" s="383"/>
      <c r="J79" s="383"/>
      <c r="K79" s="383"/>
      <c r="L79" s="383"/>
      <c r="M79" s="383"/>
      <c r="N79" s="50" t="s">
        <v>0</v>
      </c>
      <c r="O79" s="20">
        <f>SUM(O80:O82)</f>
        <v>0</v>
      </c>
      <c r="P79" s="75"/>
    </row>
    <row r="80" spans="1:17" ht="13.5" customHeight="1" x14ac:dyDescent="0.2">
      <c r="A80" s="362"/>
      <c r="B80" s="367" t="s">
        <v>16</v>
      </c>
      <c r="C80" s="367"/>
      <c r="D80" s="367"/>
      <c r="E80" s="367"/>
      <c r="F80" s="367"/>
      <c r="G80" s="367"/>
      <c r="H80" s="367"/>
      <c r="I80" s="367"/>
      <c r="J80" s="367"/>
      <c r="K80" s="367"/>
      <c r="L80" s="367"/>
      <c r="M80" s="367"/>
      <c r="N80" s="370"/>
      <c r="O80" s="18"/>
      <c r="P80" s="76"/>
    </row>
    <row r="81" spans="1:17" ht="13.5" customHeight="1" x14ac:dyDescent="0.2">
      <c r="A81" s="362"/>
      <c r="B81" s="367" t="s">
        <v>17</v>
      </c>
      <c r="C81" s="367"/>
      <c r="D81" s="367"/>
      <c r="E81" s="367"/>
      <c r="F81" s="367"/>
      <c r="G81" s="367"/>
      <c r="H81" s="367"/>
      <c r="I81" s="367"/>
      <c r="J81" s="367"/>
      <c r="K81" s="367"/>
      <c r="L81" s="367"/>
      <c r="M81" s="367"/>
      <c r="N81" s="370"/>
      <c r="O81" s="12"/>
      <c r="P81" s="76"/>
    </row>
    <row r="82" spans="1:17" ht="13.5" customHeight="1" thickBot="1" x14ac:dyDescent="0.25">
      <c r="A82" s="362"/>
      <c r="B82" s="373" t="s">
        <v>18</v>
      </c>
      <c r="C82" s="373"/>
      <c r="D82" s="373"/>
      <c r="E82" s="373"/>
      <c r="F82" s="373"/>
      <c r="G82" s="373"/>
      <c r="H82" s="373"/>
      <c r="I82" s="373"/>
      <c r="J82" s="373"/>
      <c r="K82" s="373"/>
      <c r="L82" s="373"/>
      <c r="M82" s="373"/>
      <c r="N82" s="374"/>
      <c r="O82" s="13"/>
      <c r="P82" s="76"/>
    </row>
    <row r="83" spans="1:17" ht="13.5" customHeight="1" x14ac:dyDescent="0.2">
      <c r="A83" s="362"/>
      <c r="B83" s="372" t="s">
        <v>51</v>
      </c>
      <c r="C83" s="372"/>
      <c r="D83" s="372"/>
      <c r="E83" s="372"/>
      <c r="F83" s="372"/>
      <c r="G83" s="372"/>
      <c r="H83" s="372"/>
      <c r="I83" s="372"/>
      <c r="J83" s="372"/>
      <c r="K83" s="372"/>
      <c r="L83" s="372"/>
      <c r="M83" s="372"/>
      <c r="N83" s="50" t="s">
        <v>0</v>
      </c>
      <c r="O83" s="20">
        <f>SUM(O84:O87)</f>
        <v>0</v>
      </c>
      <c r="P83" s="75"/>
    </row>
    <row r="84" spans="1:17" ht="13.5" customHeight="1" x14ac:dyDescent="0.2">
      <c r="A84" s="362"/>
      <c r="B84" s="384" t="s">
        <v>28</v>
      </c>
      <c r="C84" s="384"/>
      <c r="D84" s="384"/>
      <c r="E84" s="384"/>
      <c r="F84" s="384"/>
      <c r="G84" s="384"/>
      <c r="H84" s="384"/>
      <c r="I84" s="384"/>
      <c r="J84" s="384"/>
      <c r="K84" s="384"/>
      <c r="L84" s="384"/>
      <c r="M84" s="384"/>
      <c r="N84" s="385"/>
      <c r="O84" s="14"/>
      <c r="P84" s="76"/>
    </row>
    <row r="85" spans="1:17" ht="13.5" customHeight="1" x14ac:dyDescent="0.2">
      <c r="A85" s="362"/>
      <c r="B85" s="367" t="s">
        <v>29</v>
      </c>
      <c r="C85" s="367"/>
      <c r="D85" s="367"/>
      <c r="E85" s="367"/>
      <c r="F85" s="367"/>
      <c r="G85" s="367"/>
      <c r="H85" s="367"/>
      <c r="I85" s="367"/>
      <c r="J85" s="367"/>
      <c r="K85" s="367"/>
      <c r="L85" s="367"/>
      <c r="M85" s="367"/>
      <c r="N85" s="370"/>
      <c r="O85" s="16"/>
      <c r="P85" s="76"/>
      <c r="Q85" s="17" t="s">
        <v>211</v>
      </c>
    </row>
    <row r="86" spans="1:17" ht="13.5" customHeight="1" x14ac:dyDescent="0.2">
      <c r="A86" s="362"/>
      <c r="B86" s="367" t="s">
        <v>47</v>
      </c>
      <c r="C86" s="367"/>
      <c r="D86" s="367"/>
      <c r="E86" s="367"/>
      <c r="F86" s="367"/>
      <c r="G86" s="367"/>
      <c r="H86" s="367"/>
      <c r="I86" s="367"/>
      <c r="J86" s="367"/>
      <c r="K86" s="367"/>
      <c r="L86" s="367"/>
      <c r="M86" s="367"/>
      <c r="N86" s="370"/>
      <c r="O86" s="16"/>
      <c r="P86" s="76"/>
    </row>
    <row r="87" spans="1:17" ht="13.5" customHeight="1" thickBot="1" x14ac:dyDescent="0.25">
      <c r="A87" s="362"/>
      <c r="B87" s="373" t="s">
        <v>30</v>
      </c>
      <c r="C87" s="373"/>
      <c r="D87" s="373"/>
      <c r="E87" s="373"/>
      <c r="F87" s="373"/>
      <c r="G87" s="373"/>
      <c r="H87" s="373"/>
      <c r="I87" s="373"/>
      <c r="J87" s="373"/>
      <c r="K87" s="373"/>
      <c r="L87" s="373"/>
      <c r="M87" s="373"/>
      <c r="N87" s="374"/>
      <c r="O87" s="19"/>
      <c r="P87" s="76"/>
      <c r="Q87" s="17" t="s">
        <v>213</v>
      </c>
    </row>
    <row r="88" spans="1:17" ht="13.5" customHeight="1" x14ac:dyDescent="0.2">
      <c r="A88" s="362"/>
      <c r="B88" s="375" t="s">
        <v>53</v>
      </c>
      <c r="C88" s="375"/>
      <c r="D88" s="375"/>
      <c r="E88" s="375"/>
      <c r="F88" s="375"/>
      <c r="G88" s="375"/>
      <c r="H88" s="375"/>
      <c r="I88" s="375"/>
      <c r="J88" s="375"/>
      <c r="K88" s="375"/>
      <c r="L88" s="375"/>
      <c r="M88" s="375"/>
      <c r="N88" s="50" t="s">
        <v>0</v>
      </c>
      <c r="O88" s="21">
        <f>SUM(O89:O94)</f>
        <v>0</v>
      </c>
      <c r="P88" s="75"/>
    </row>
    <row r="89" spans="1:17" ht="13.5" customHeight="1" x14ac:dyDescent="0.2">
      <c r="A89" s="362"/>
      <c r="B89" s="376" t="s">
        <v>199</v>
      </c>
      <c r="C89" s="377"/>
      <c r="D89" s="377"/>
      <c r="E89" s="377"/>
      <c r="F89" s="377"/>
      <c r="G89" s="377"/>
      <c r="H89" s="377"/>
      <c r="I89" s="377"/>
      <c r="J89" s="377"/>
      <c r="K89" s="377"/>
      <c r="L89" s="377"/>
      <c r="M89" s="377"/>
      <c r="N89" s="378"/>
      <c r="O89" s="154"/>
      <c r="P89" s="75"/>
      <c r="Q89" s="195" t="s">
        <v>214</v>
      </c>
    </row>
    <row r="90" spans="1:17" ht="13.5" customHeight="1" x14ac:dyDescent="0.2">
      <c r="A90" s="362"/>
      <c r="B90" s="367" t="s">
        <v>54</v>
      </c>
      <c r="C90" s="367"/>
      <c r="D90" s="367"/>
      <c r="E90" s="367"/>
      <c r="F90" s="367"/>
      <c r="G90" s="367"/>
      <c r="H90" s="367"/>
      <c r="I90" s="367"/>
      <c r="J90" s="367"/>
      <c r="K90" s="367"/>
      <c r="L90" s="367"/>
      <c r="M90" s="367"/>
      <c r="N90" s="370"/>
      <c r="O90" s="16"/>
      <c r="P90" s="76"/>
    </row>
    <row r="91" spans="1:17" ht="13.5" customHeight="1" x14ac:dyDescent="0.2">
      <c r="A91" s="362"/>
      <c r="B91" s="367" t="s">
        <v>55</v>
      </c>
      <c r="C91" s="367"/>
      <c r="D91" s="367"/>
      <c r="E91" s="367"/>
      <c r="F91" s="367"/>
      <c r="G91" s="367"/>
      <c r="H91" s="367"/>
      <c r="I91" s="367"/>
      <c r="J91" s="367"/>
      <c r="K91" s="367"/>
      <c r="L91" s="367"/>
      <c r="M91" s="367"/>
      <c r="N91" s="370"/>
      <c r="O91" s="15"/>
      <c r="P91" s="76"/>
    </row>
    <row r="92" spans="1:17" ht="13.5" customHeight="1" x14ac:dyDescent="0.2">
      <c r="A92" s="362"/>
      <c r="B92" s="371" t="s">
        <v>32</v>
      </c>
      <c r="C92" s="367"/>
      <c r="D92" s="367"/>
      <c r="E92" s="367"/>
      <c r="F92" s="367"/>
      <c r="G92" s="367"/>
      <c r="H92" s="367"/>
      <c r="I92" s="367"/>
      <c r="J92" s="367"/>
      <c r="K92" s="367"/>
      <c r="L92" s="367"/>
      <c r="M92" s="367"/>
      <c r="N92" s="370"/>
      <c r="O92" s="15"/>
      <c r="P92" s="76"/>
    </row>
    <row r="93" spans="1:17" ht="13.5" customHeight="1" x14ac:dyDescent="0.2">
      <c r="A93" s="362"/>
      <c r="B93" s="371" t="s">
        <v>81</v>
      </c>
      <c r="C93" s="367"/>
      <c r="D93" s="367"/>
      <c r="E93" s="367"/>
      <c r="F93" s="367"/>
      <c r="G93" s="367"/>
      <c r="H93" s="367"/>
      <c r="I93" s="367"/>
      <c r="J93" s="367"/>
      <c r="K93" s="367"/>
      <c r="L93" s="367"/>
      <c r="M93" s="367"/>
      <c r="N93" s="370"/>
      <c r="O93" s="15"/>
      <c r="P93" s="76"/>
    </row>
    <row r="94" spans="1:17" ht="13.5" customHeight="1" thickBot="1" x14ac:dyDescent="0.25">
      <c r="A94" s="363"/>
      <c r="B94" s="381" t="s">
        <v>188</v>
      </c>
      <c r="C94" s="373"/>
      <c r="D94" s="373"/>
      <c r="E94" s="373"/>
      <c r="F94" s="373"/>
      <c r="G94" s="373"/>
      <c r="H94" s="373"/>
      <c r="I94" s="373"/>
      <c r="J94" s="373"/>
      <c r="K94" s="373"/>
      <c r="L94" s="373"/>
      <c r="M94" s="373"/>
      <c r="N94" s="374"/>
      <c r="O94" s="22"/>
      <c r="P94" s="76"/>
    </row>
    <row r="95" spans="1:17" ht="18" customHeight="1" thickBot="1" x14ac:dyDescent="0.25">
      <c r="A95" s="31"/>
      <c r="B95" s="386"/>
      <c r="C95" s="386"/>
      <c r="D95" s="386"/>
      <c r="E95" s="386"/>
      <c r="F95" s="386"/>
      <c r="G95" s="386"/>
      <c r="H95" s="386"/>
      <c r="I95" s="386"/>
      <c r="J95" s="386"/>
      <c r="K95" s="386"/>
      <c r="L95" s="386"/>
      <c r="M95" s="386"/>
      <c r="N95" s="386"/>
      <c r="O95" s="386"/>
      <c r="P95" s="78"/>
    </row>
    <row r="96" spans="1:17" ht="13.5" customHeight="1" x14ac:dyDescent="0.2">
      <c r="A96" s="361" t="s">
        <v>41</v>
      </c>
      <c r="B96" s="387" t="s">
        <v>42</v>
      </c>
      <c r="C96" s="388"/>
      <c r="D96" s="388"/>
      <c r="E96" s="388"/>
      <c r="F96" s="388"/>
      <c r="G96" s="388"/>
      <c r="H96" s="388"/>
      <c r="I96" s="388"/>
      <c r="J96" s="388"/>
      <c r="K96" s="388"/>
      <c r="L96" s="388"/>
      <c r="M96" s="388"/>
      <c r="N96" s="102" t="s">
        <v>20</v>
      </c>
      <c r="O96" s="103">
        <f>J118</f>
        <v>0</v>
      </c>
      <c r="P96" s="74"/>
    </row>
    <row r="97" spans="1:17" ht="26.25" customHeight="1" x14ac:dyDescent="0.2">
      <c r="A97" s="362"/>
      <c r="B97" s="389" t="s">
        <v>59</v>
      </c>
      <c r="C97" s="49" t="s">
        <v>25</v>
      </c>
      <c r="D97" s="49"/>
      <c r="E97" s="49"/>
      <c r="F97" s="392" t="s">
        <v>177</v>
      </c>
      <c r="G97" s="393"/>
      <c r="H97" s="394" t="s">
        <v>178</v>
      </c>
      <c r="I97" s="394"/>
      <c r="J97" s="134" t="s">
        <v>179</v>
      </c>
      <c r="K97" s="150" t="s">
        <v>197</v>
      </c>
      <c r="L97" s="151" t="s">
        <v>57</v>
      </c>
      <c r="M97" s="44" t="s">
        <v>56</v>
      </c>
      <c r="N97" s="392" t="s">
        <v>180</v>
      </c>
      <c r="O97" s="401"/>
    </row>
    <row r="98" spans="1:17" ht="13.5" customHeight="1" x14ac:dyDescent="0.2">
      <c r="A98" s="362"/>
      <c r="B98" s="390"/>
      <c r="C98" s="395" t="e">
        <f>IF('Per7'!C98&lt;&gt;"",'Per7'!C98,"")</f>
        <v>#REF!</v>
      </c>
      <c r="D98" s="396"/>
      <c r="E98" s="397"/>
      <c r="F98" s="398"/>
      <c r="G98" s="398"/>
      <c r="H98" s="398"/>
      <c r="I98" s="398"/>
      <c r="J98" s="135">
        <f>F98+H98</f>
        <v>0</v>
      </c>
      <c r="K98" s="132" t="e">
        <f>IF((J98+'Period 1'!#REF!+#REF!+#REF!+#REF!+#REF!+'Per6'!J98+'Per7'!J98)&lt;=24999,J98, 25000-'Period 1'!#REF!-#REF!-#REF!-#REF!-#REF!-'Per6'!K98-'Per7'!K98)</f>
        <v>#REF!</v>
      </c>
      <c r="L98" s="32" t="e">
        <f>F98+H98-K98</f>
        <v>#REF!</v>
      </c>
      <c r="M98" s="32" t="e">
        <f>ROUND(IF(($L$7-VLOOKUP($G$120,$I$121:$K$135,3,FALSE))&lt;0,$K98,ROUND((1-($L$7-VLOOKUP($G$120,$I$121:$K$135,3,FALSE))/($L$7 +1 - $L$5))*$K98,0))*M$140,0) +ROUND(IF(($L$7-VLOOKUP($G$120,$I$121:$K$135,3,FALSE))&lt;0,0,ROUND(($L$7-VLOOKUP($G$120,$I$121:$K$135,3,FALSE))/($L$7 +1 - $L$5)*$K98,0))*M$141,0)</f>
        <v>#REF!</v>
      </c>
      <c r="N98" s="399" t="e">
        <f>K98+L98+M98</f>
        <v>#REF!</v>
      </c>
      <c r="O98" s="400"/>
    </row>
    <row r="99" spans="1:17" ht="13.5" customHeight="1" x14ac:dyDescent="0.2">
      <c r="A99" s="362"/>
      <c r="B99" s="390"/>
      <c r="C99" s="395" t="e">
        <f>IF('Per7'!C99&lt;&gt;"",'Per7'!C99,"")</f>
        <v>#REF!</v>
      </c>
      <c r="D99" s="396"/>
      <c r="E99" s="397"/>
      <c r="F99" s="398"/>
      <c r="G99" s="398"/>
      <c r="H99" s="398"/>
      <c r="I99" s="398"/>
      <c r="J99" s="135">
        <f t="shared" ref="J99:J117" si="5">F99+H99</f>
        <v>0</v>
      </c>
      <c r="K99" s="132" t="e">
        <f>IF((J99+'Period 1'!#REF!+#REF!+#REF!+#REF!+#REF!+'Per6'!J99+'Per7'!J99)&lt;=24999,J99, 25000-'Period 1'!#REF!-#REF!-#REF!-#REF!-#REF!-'Per6'!K99-'Per7'!K99)</f>
        <v>#REF!</v>
      </c>
      <c r="L99" s="32" t="e">
        <f>F99+H99-K99</f>
        <v>#REF!</v>
      </c>
      <c r="M99" s="32" t="e">
        <f t="shared" ref="M99:M117" si="6">ROUND(IF(($L$7-VLOOKUP($G$120,$I$121:$K$135,3,FALSE))&lt;0,$K99,ROUND((1-($L$7-VLOOKUP($G$120,$I$121:$K$135,3,FALSE))/($L$7 +1 - $L$5))*$K99,0))*M$140,0) +ROUND(IF(($L$7-VLOOKUP($G$120,$I$121:$K$135,3,FALSE))&lt;0,0,ROUND(($L$7-VLOOKUP($G$120,$I$121:$K$135,3,FALSE))/($L$7 +1 - $L$5)*$K99,0))*M$141,0)</f>
        <v>#REF!</v>
      </c>
      <c r="N99" s="399" t="e">
        <f t="shared" ref="N99:N117" si="7">K99+L99+M99</f>
        <v>#REF!</v>
      </c>
      <c r="O99" s="400"/>
    </row>
    <row r="100" spans="1:17" ht="13.5" customHeight="1" x14ac:dyDescent="0.2">
      <c r="A100" s="362"/>
      <c r="B100" s="390"/>
      <c r="C100" s="395" t="e">
        <f>IF('Per7'!C100&lt;&gt;"",'Per7'!C100,"")</f>
        <v>#REF!</v>
      </c>
      <c r="D100" s="396"/>
      <c r="E100" s="397"/>
      <c r="F100" s="398"/>
      <c r="G100" s="398"/>
      <c r="H100" s="398"/>
      <c r="I100" s="398"/>
      <c r="J100" s="135">
        <f t="shared" si="5"/>
        <v>0</v>
      </c>
      <c r="K100" s="132" t="e">
        <f>IF((J100+'Period 1'!#REF!+#REF!+#REF!+#REF!+#REF!+'Per6'!J100+'Per7'!J100)&lt;=24999,J100, 25000-'Period 1'!#REF!-#REF!-#REF!-#REF!-#REF!-'Per6'!K100-'Per7'!K100)</f>
        <v>#REF!</v>
      </c>
      <c r="L100" s="32" t="e">
        <f>F100+H100-K100</f>
        <v>#REF!</v>
      </c>
      <c r="M100" s="32" t="e">
        <f t="shared" si="6"/>
        <v>#REF!</v>
      </c>
      <c r="N100" s="399" t="e">
        <f t="shared" si="7"/>
        <v>#REF!</v>
      </c>
      <c r="O100" s="400"/>
    </row>
    <row r="101" spans="1:17" ht="13.5" customHeight="1" x14ac:dyDescent="0.2">
      <c r="A101" s="362"/>
      <c r="B101" s="390"/>
      <c r="C101" s="395" t="e">
        <f>IF('Per7'!C101&lt;&gt;"",'Per7'!C101,"")</f>
        <v>#REF!</v>
      </c>
      <c r="D101" s="396"/>
      <c r="E101" s="397"/>
      <c r="F101" s="398"/>
      <c r="G101" s="398"/>
      <c r="H101" s="398"/>
      <c r="I101" s="398"/>
      <c r="J101" s="135">
        <f t="shared" si="5"/>
        <v>0</v>
      </c>
      <c r="K101" s="132" t="e">
        <f>IF((J101+'Period 1'!#REF!+#REF!+#REF!+#REF!+#REF!+'Per6'!J101+'Per7'!J101)&lt;=24999,J101, 25000-'Period 1'!#REF!-#REF!-#REF!-#REF!-#REF!-'Per6'!K101-'Per7'!K101)</f>
        <v>#REF!</v>
      </c>
      <c r="L101" s="32" t="e">
        <f>F101+H101-K101</f>
        <v>#REF!</v>
      </c>
      <c r="M101" s="32" t="e">
        <f t="shared" si="6"/>
        <v>#REF!</v>
      </c>
      <c r="N101" s="399" t="e">
        <f t="shared" si="7"/>
        <v>#REF!</v>
      </c>
      <c r="O101" s="400"/>
    </row>
    <row r="102" spans="1:17" ht="13.5" customHeight="1" thickBot="1" x14ac:dyDescent="0.25">
      <c r="A102" s="362"/>
      <c r="B102" s="390"/>
      <c r="C102" s="395" t="e">
        <f>IF('Per7'!C102&lt;&gt;"",'Per7'!C102,"")</f>
        <v>#REF!</v>
      </c>
      <c r="D102" s="396"/>
      <c r="E102" s="397"/>
      <c r="F102" s="404"/>
      <c r="G102" s="404"/>
      <c r="H102" s="404"/>
      <c r="I102" s="404"/>
      <c r="J102" s="136">
        <f t="shared" si="5"/>
        <v>0</v>
      </c>
      <c r="K102" s="132" t="e">
        <f>IF((J102+'Period 1'!#REF!+#REF!+#REF!+#REF!+#REF!+'Per6'!J102+'Per7'!J102)&lt;=24999,J102, 25000-'Period 1'!#REF!-#REF!-#REF!-#REF!-#REF!-'Per6'!K102-'Per7'!K102)</f>
        <v>#REF!</v>
      </c>
      <c r="L102" s="83" t="e">
        <f>F102+H102-K102</f>
        <v>#REF!</v>
      </c>
      <c r="M102" s="32" t="e">
        <f t="shared" si="6"/>
        <v>#REF!</v>
      </c>
      <c r="N102" s="405" t="e">
        <f t="shared" si="7"/>
        <v>#REF!</v>
      </c>
      <c r="O102" s="406"/>
      <c r="Q102" s="17" t="s">
        <v>215</v>
      </c>
    </row>
    <row r="103" spans="1:17" ht="13.5" hidden="1" customHeight="1" x14ac:dyDescent="0.2">
      <c r="A103" s="362"/>
      <c r="B103" s="390"/>
      <c r="C103" s="395" t="e">
        <f>IF('Per7'!C103&lt;&gt;"",'Per7'!C103,"")</f>
        <v>#REF!</v>
      </c>
      <c r="D103" s="396"/>
      <c r="E103" s="397"/>
      <c r="F103" s="402"/>
      <c r="G103" s="403"/>
      <c r="H103" s="402"/>
      <c r="I103" s="403"/>
      <c r="J103" s="136">
        <f t="shared" si="5"/>
        <v>0</v>
      </c>
      <c r="K103" s="132" t="e">
        <f>IF((J103+'Period 1'!#REF!+#REF!+#REF!+#REF!+#REF!+'Per6'!J103+'Per7'!J103)&lt;=24999,J103, 25000-'Period 1'!#REF!-#REF!-#REF!-#REF!-#REF!-'Per6'!K103-'Per7'!K103)</f>
        <v>#REF!</v>
      </c>
      <c r="L103" s="83" t="e">
        <f t="shared" ref="L103:L117" si="8">F103+H103-K103</f>
        <v>#REF!</v>
      </c>
      <c r="M103" s="32" t="e">
        <f t="shared" si="6"/>
        <v>#REF!</v>
      </c>
      <c r="N103" s="399" t="e">
        <f t="shared" si="7"/>
        <v>#REF!</v>
      </c>
      <c r="O103" s="400"/>
    </row>
    <row r="104" spans="1:17" ht="13.5" hidden="1" customHeight="1" x14ac:dyDescent="0.2">
      <c r="A104" s="362"/>
      <c r="B104" s="390"/>
      <c r="C104" s="395" t="e">
        <f>IF('Per7'!C104&lt;&gt;"",'Per7'!C104,"")</f>
        <v>#REF!</v>
      </c>
      <c r="D104" s="396"/>
      <c r="E104" s="397"/>
      <c r="F104" s="402"/>
      <c r="G104" s="403"/>
      <c r="H104" s="402"/>
      <c r="I104" s="403"/>
      <c r="J104" s="136">
        <f t="shared" si="5"/>
        <v>0</v>
      </c>
      <c r="K104" s="132" t="e">
        <f>IF((J104+'Period 1'!#REF!+#REF!+#REF!+#REF!+#REF!+'Per6'!J104+'Per7'!J104)&lt;=24999,J104, 25000-'Period 1'!#REF!-#REF!-#REF!-#REF!-#REF!-'Per6'!K104-'Per7'!K104)</f>
        <v>#REF!</v>
      </c>
      <c r="L104" s="83" t="e">
        <f t="shared" si="8"/>
        <v>#REF!</v>
      </c>
      <c r="M104" s="32" t="e">
        <f t="shared" si="6"/>
        <v>#REF!</v>
      </c>
      <c r="N104" s="399" t="e">
        <f t="shared" si="7"/>
        <v>#REF!</v>
      </c>
      <c r="O104" s="400"/>
    </row>
    <row r="105" spans="1:17" ht="13.5" hidden="1" customHeight="1" x14ac:dyDescent="0.2">
      <c r="A105" s="362"/>
      <c r="B105" s="390"/>
      <c r="C105" s="395" t="e">
        <f>IF('Per7'!C105&lt;&gt;"",'Per7'!C105,"")</f>
        <v>#REF!</v>
      </c>
      <c r="D105" s="396"/>
      <c r="E105" s="397"/>
      <c r="F105" s="402"/>
      <c r="G105" s="403"/>
      <c r="H105" s="402"/>
      <c r="I105" s="403"/>
      <c r="J105" s="136">
        <f t="shared" si="5"/>
        <v>0</v>
      </c>
      <c r="K105" s="132" t="e">
        <f>IF((J105+'Period 1'!#REF!+#REF!+#REF!+#REF!+#REF!+'Per6'!J105+'Per7'!J105)&lt;=24999,J105, 25000-'Period 1'!#REF!-#REF!-#REF!-#REF!-#REF!-'Per6'!K105-'Per7'!K105)</f>
        <v>#REF!</v>
      </c>
      <c r="L105" s="83" t="e">
        <f t="shared" si="8"/>
        <v>#REF!</v>
      </c>
      <c r="M105" s="32" t="e">
        <f t="shared" si="6"/>
        <v>#REF!</v>
      </c>
      <c r="N105" s="399" t="e">
        <f t="shared" si="7"/>
        <v>#REF!</v>
      </c>
      <c r="O105" s="400"/>
    </row>
    <row r="106" spans="1:17" ht="13.5" hidden="1" customHeight="1" x14ac:dyDescent="0.2">
      <c r="A106" s="362"/>
      <c r="B106" s="390"/>
      <c r="C106" s="395" t="e">
        <f>IF('Per7'!C106&lt;&gt;"",'Per7'!C106,"")</f>
        <v>#REF!</v>
      </c>
      <c r="D106" s="396"/>
      <c r="E106" s="397"/>
      <c r="F106" s="402"/>
      <c r="G106" s="403"/>
      <c r="H106" s="402"/>
      <c r="I106" s="403"/>
      <c r="J106" s="136">
        <f t="shared" si="5"/>
        <v>0</v>
      </c>
      <c r="K106" s="132" t="e">
        <f>IF((J106+'Period 1'!#REF!+#REF!+#REF!+#REF!+#REF!+'Per6'!J106+'Per7'!J106)&lt;=24999,J106, 25000-'Period 1'!#REF!-#REF!-#REF!-#REF!-#REF!-'Per6'!K106-'Per7'!K106)</f>
        <v>#REF!</v>
      </c>
      <c r="L106" s="83" t="e">
        <f t="shared" si="8"/>
        <v>#REF!</v>
      </c>
      <c r="M106" s="32" t="e">
        <f t="shared" si="6"/>
        <v>#REF!</v>
      </c>
      <c r="N106" s="399" t="e">
        <f t="shared" si="7"/>
        <v>#REF!</v>
      </c>
      <c r="O106" s="400"/>
    </row>
    <row r="107" spans="1:17" ht="13.5" hidden="1" customHeight="1" x14ac:dyDescent="0.2">
      <c r="A107" s="362"/>
      <c r="B107" s="390"/>
      <c r="C107" s="395" t="e">
        <f>IF('Per7'!C107&lt;&gt;"",'Per7'!C107,"")</f>
        <v>#REF!</v>
      </c>
      <c r="D107" s="396"/>
      <c r="E107" s="397"/>
      <c r="F107" s="402"/>
      <c r="G107" s="403"/>
      <c r="H107" s="402"/>
      <c r="I107" s="403"/>
      <c r="J107" s="136">
        <f t="shared" si="5"/>
        <v>0</v>
      </c>
      <c r="K107" s="132" t="e">
        <f>IF((J107+'Period 1'!#REF!+#REF!+#REF!+#REF!+#REF!+'Per6'!J107+'Per7'!J107)&lt;=24999,J107, 25000-'Period 1'!#REF!-#REF!-#REF!-#REF!-#REF!-'Per6'!K107-'Per7'!K107)</f>
        <v>#REF!</v>
      </c>
      <c r="L107" s="83" t="e">
        <f t="shared" si="8"/>
        <v>#REF!</v>
      </c>
      <c r="M107" s="32" t="e">
        <f t="shared" si="6"/>
        <v>#REF!</v>
      </c>
      <c r="N107" s="399" t="e">
        <f t="shared" si="7"/>
        <v>#REF!</v>
      </c>
      <c r="O107" s="400"/>
    </row>
    <row r="108" spans="1:17" ht="13.5" hidden="1" customHeight="1" x14ac:dyDescent="0.2">
      <c r="A108" s="362"/>
      <c r="B108" s="390"/>
      <c r="C108" s="395" t="e">
        <f>IF('Per7'!C108&lt;&gt;"",'Per7'!C108,"")</f>
        <v>#REF!</v>
      </c>
      <c r="D108" s="396"/>
      <c r="E108" s="397"/>
      <c r="F108" s="402"/>
      <c r="G108" s="403"/>
      <c r="H108" s="402"/>
      <c r="I108" s="403"/>
      <c r="J108" s="136">
        <f t="shared" si="5"/>
        <v>0</v>
      </c>
      <c r="K108" s="132" t="e">
        <f>IF((J108+'Period 1'!#REF!+#REF!+#REF!+#REF!+#REF!+'Per6'!J108+'Per7'!J108)&lt;=24999,J108, 25000-'Period 1'!#REF!-#REF!-#REF!-#REF!-#REF!-'Per6'!K108-'Per7'!K108)</f>
        <v>#REF!</v>
      </c>
      <c r="L108" s="83" t="e">
        <f t="shared" si="8"/>
        <v>#REF!</v>
      </c>
      <c r="M108" s="32" t="e">
        <f t="shared" si="6"/>
        <v>#REF!</v>
      </c>
      <c r="N108" s="399" t="e">
        <f t="shared" si="7"/>
        <v>#REF!</v>
      </c>
      <c r="O108" s="400"/>
    </row>
    <row r="109" spans="1:17" ht="13.5" hidden="1" customHeight="1" x14ac:dyDescent="0.2">
      <c r="A109" s="362"/>
      <c r="B109" s="390"/>
      <c r="C109" s="395" t="e">
        <f>IF('Per7'!C109&lt;&gt;"",'Per7'!C109,"")</f>
        <v>#REF!</v>
      </c>
      <c r="D109" s="396"/>
      <c r="E109" s="397"/>
      <c r="F109" s="402"/>
      <c r="G109" s="403"/>
      <c r="H109" s="402"/>
      <c r="I109" s="403"/>
      <c r="J109" s="136">
        <f t="shared" si="5"/>
        <v>0</v>
      </c>
      <c r="K109" s="132" t="e">
        <f>IF((J109+'Period 1'!#REF!+#REF!+#REF!+#REF!+#REF!+'Per6'!J109+'Per7'!J109)&lt;=24999,J109, 25000-'Period 1'!#REF!-#REF!-#REF!-#REF!-#REF!-'Per6'!K109-'Per7'!K109)</f>
        <v>#REF!</v>
      </c>
      <c r="L109" s="83" t="e">
        <f t="shared" si="8"/>
        <v>#REF!</v>
      </c>
      <c r="M109" s="32" t="e">
        <f t="shared" si="6"/>
        <v>#REF!</v>
      </c>
      <c r="N109" s="399" t="e">
        <f t="shared" si="7"/>
        <v>#REF!</v>
      </c>
      <c r="O109" s="400"/>
    </row>
    <row r="110" spans="1:17" ht="13.5" hidden="1" customHeight="1" x14ac:dyDescent="0.2">
      <c r="A110" s="362"/>
      <c r="B110" s="390"/>
      <c r="C110" s="395" t="e">
        <f>IF('Per7'!C110&lt;&gt;"",'Per7'!C110,"")</f>
        <v>#REF!</v>
      </c>
      <c r="D110" s="396"/>
      <c r="E110" s="397"/>
      <c r="F110" s="402"/>
      <c r="G110" s="403"/>
      <c r="H110" s="402"/>
      <c r="I110" s="403"/>
      <c r="J110" s="136">
        <f t="shared" si="5"/>
        <v>0</v>
      </c>
      <c r="K110" s="132" t="e">
        <f>IF((J110+'Period 1'!#REF!+#REF!+#REF!+#REF!+#REF!+'Per6'!J110+'Per7'!J110)&lt;=24999,J110, 25000-'Period 1'!#REF!-#REF!-#REF!-#REF!-#REF!-'Per6'!K110-'Per7'!K110)</f>
        <v>#REF!</v>
      </c>
      <c r="L110" s="83" t="e">
        <f t="shared" si="8"/>
        <v>#REF!</v>
      </c>
      <c r="M110" s="32" t="e">
        <f t="shared" si="6"/>
        <v>#REF!</v>
      </c>
      <c r="N110" s="399" t="e">
        <f t="shared" si="7"/>
        <v>#REF!</v>
      </c>
      <c r="O110" s="400"/>
    </row>
    <row r="111" spans="1:17" ht="13.5" hidden="1" customHeight="1" x14ac:dyDescent="0.2">
      <c r="A111" s="362"/>
      <c r="B111" s="390"/>
      <c r="C111" s="395" t="e">
        <f>IF('Per7'!C111&lt;&gt;"",'Per7'!C111,"")</f>
        <v>#REF!</v>
      </c>
      <c r="D111" s="396"/>
      <c r="E111" s="397"/>
      <c r="F111" s="402"/>
      <c r="G111" s="403"/>
      <c r="H111" s="402"/>
      <c r="I111" s="403"/>
      <c r="J111" s="136">
        <f t="shared" si="5"/>
        <v>0</v>
      </c>
      <c r="K111" s="132" t="e">
        <f>IF((J111+'Period 1'!#REF!+#REF!+#REF!+#REF!+#REF!+'Per6'!J111+'Per7'!J111)&lt;=24999,J111, 25000-'Period 1'!#REF!-#REF!-#REF!-#REF!-#REF!-'Per6'!K111-'Per7'!K111)</f>
        <v>#REF!</v>
      </c>
      <c r="L111" s="83" t="e">
        <f t="shared" si="8"/>
        <v>#REF!</v>
      </c>
      <c r="M111" s="32" t="e">
        <f t="shared" si="6"/>
        <v>#REF!</v>
      </c>
      <c r="N111" s="399" t="e">
        <f t="shared" si="7"/>
        <v>#REF!</v>
      </c>
      <c r="O111" s="400"/>
    </row>
    <row r="112" spans="1:17" ht="13.5" hidden="1" customHeight="1" x14ac:dyDescent="0.2">
      <c r="A112" s="362"/>
      <c r="B112" s="390"/>
      <c r="C112" s="395" t="e">
        <f>IF('Per7'!C112&lt;&gt;"",'Per7'!C112,"")</f>
        <v>#REF!</v>
      </c>
      <c r="D112" s="396"/>
      <c r="E112" s="397"/>
      <c r="F112" s="402"/>
      <c r="G112" s="403"/>
      <c r="H112" s="402"/>
      <c r="I112" s="403"/>
      <c r="J112" s="136">
        <f t="shared" si="5"/>
        <v>0</v>
      </c>
      <c r="K112" s="132" t="e">
        <f>IF((J112+'Period 1'!#REF!+#REF!+#REF!+#REF!+#REF!+'Per6'!J112+'Per7'!J112)&lt;=24999,J112, 25000-'Period 1'!#REF!-#REF!-#REF!-#REF!-#REF!-'Per6'!K112-'Per7'!K112)</f>
        <v>#REF!</v>
      </c>
      <c r="L112" s="83" t="e">
        <f t="shared" si="8"/>
        <v>#REF!</v>
      </c>
      <c r="M112" s="32" t="e">
        <f t="shared" si="6"/>
        <v>#REF!</v>
      </c>
      <c r="N112" s="399" t="e">
        <f t="shared" si="7"/>
        <v>#REF!</v>
      </c>
      <c r="O112" s="400"/>
    </row>
    <row r="113" spans="1:16" ht="13.5" hidden="1" customHeight="1" x14ac:dyDescent="0.2">
      <c r="A113" s="362"/>
      <c r="B113" s="390"/>
      <c r="C113" s="395" t="e">
        <f>IF('Per7'!C113&lt;&gt;"",'Per7'!C113,"")</f>
        <v>#REF!</v>
      </c>
      <c r="D113" s="396"/>
      <c r="E113" s="397"/>
      <c r="F113" s="402"/>
      <c r="G113" s="403"/>
      <c r="H113" s="402"/>
      <c r="I113" s="403"/>
      <c r="J113" s="136">
        <f t="shared" si="5"/>
        <v>0</v>
      </c>
      <c r="K113" s="132" t="e">
        <f>IF((J113+'Period 1'!#REF!+#REF!+#REF!+#REF!+#REF!+'Per6'!J113+'Per7'!J113)&lt;=24999,J113, 25000-'Period 1'!#REF!-#REF!-#REF!-#REF!-#REF!-'Per6'!K113-'Per7'!K113)</f>
        <v>#REF!</v>
      </c>
      <c r="L113" s="83" t="e">
        <f t="shared" si="8"/>
        <v>#REF!</v>
      </c>
      <c r="M113" s="32" t="e">
        <f t="shared" si="6"/>
        <v>#REF!</v>
      </c>
      <c r="N113" s="399" t="e">
        <f t="shared" si="7"/>
        <v>#REF!</v>
      </c>
      <c r="O113" s="400"/>
    </row>
    <row r="114" spans="1:16" ht="13.5" hidden="1" customHeight="1" x14ac:dyDescent="0.2">
      <c r="A114" s="362"/>
      <c r="B114" s="390"/>
      <c r="C114" s="395" t="e">
        <f>IF('Per7'!C114&lt;&gt;"",'Per7'!C114,"")</f>
        <v>#REF!</v>
      </c>
      <c r="D114" s="396"/>
      <c r="E114" s="397"/>
      <c r="F114" s="402"/>
      <c r="G114" s="403"/>
      <c r="H114" s="402"/>
      <c r="I114" s="403"/>
      <c r="J114" s="136">
        <f t="shared" si="5"/>
        <v>0</v>
      </c>
      <c r="K114" s="132" t="e">
        <f>IF((J114+'Period 1'!#REF!+#REF!+#REF!+#REF!+#REF!+'Per6'!J114+'Per7'!J114)&lt;=24999,J114, 25000-'Period 1'!#REF!-#REF!-#REF!-#REF!-#REF!-'Per6'!K114-'Per7'!K114)</f>
        <v>#REF!</v>
      </c>
      <c r="L114" s="83" t="e">
        <f t="shared" si="8"/>
        <v>#REF!</v>
      </c>
      <c r="M114" s="32" t="e">
        <f t="shared" si="6"/>
        <v>#REF!</v>
      </c>
      <c r="N114" s="399" t="e">
        <f t="shared" si="7"/>
        <v>#REF!</v>
      </c>
      <c r="O114" s="400"/>
    </row>
    <row r="115" spans="1:16" ht="13.5" hidden="1" customHeight="1" x14ac:dyDescent="0.2">
      <c r="A115" s="362"/>
      <c r="B115" s="390"/>
      <c r="C115" s="395" t="e">
        <f>IF('Per7'!C115&lt;&gt;"",'Per7'!C115,"")</f>
        <v>#REF!</v>
      </c>
      <c r="D115" s="396"/>
      <c r="E115" s="397"/>
      <c r="F115" s="402"/>
      <c r="G115" s="403"/>
      <c r="H115" s="402"/>
      <c r="I115" s="403"/>
      <c r="J115" s="136">
        <f t="shared" si="5"/>
        <v>0</v>
      </c>
      <c r="K115" s="132" t="e">
        <f>IF((J115+'Period 1'!#REF!+#REF!+#REF!+#REF!+#REF!+'Per6'!J115+'Per7'!J115)&lt;=24999,J115, 25000-'Period 1'!#REF!-#REF!-#REF!-#REF!-#REF!-'Per6'!K115-'Per7'!K115)</f>
        <v>#REF!</v>
      </c>
      <c r="L115" s="83" t="e">
        <f t="shared" si="8"/>
        <v>#REF!</v>
      </c>
      <c r="M115" s="32" t="e">
        <f t="shared" si="6"/>
        <v>#REF!</v>
      </c>
      <c r="N115" s="399" t="e">
        <f t="shared" si="7"/>
        <v>#REF!</v>
      </c>
      <c r="O115" s="400"/>
    </row>
    <row r="116" spans="1:16" ht="13.5" hidden="1" customHeight="1" x14ac:dyDescent="0.2">
      <c r="A116" s="362"/>
      <c r="B116" s="390"/>
      <c r="C116" s="395" t="e">
        <f>IF('Per7'!C116&lt;&gt;"",'Per7'!C116,"")</f>
        <v>#REF!</v>
      </c>
      <c r="D116" s="396"/>
      <c r="E116" s="397"/>
      <c r="F116" s="402"/>
      <c r="G116" s="403"/>
      <c r="H116" s="402"/>
      <c r="I116" s="403"/>
      <c r="J116" s="136">
        <f t="shared" si="5"/>
        <v>0</v>
      </c>
      <c r="K116" s="132" t="e">
        <f>IF((J116+'Period 1'!#REF!+#REF!+#REF!+#REF!+#REF!+'Per6'!J116+'Per7'!J116)&lt;=24999,J116, 25000-'Period 1'!#REF!-#REF!-#REF!-#REF!-#REF!-'Per6'!K116-'Per7'!K116)</f>
        <v>#REF!</v>
      </c>
      <c r="L116" s="83" t="e">
        <f t="shared" si="8"/>
        <v>#REF!</v>
      </c>
      <c r="M116" s="32" t="e">
        <f t="shared" si="6"/>
        <v>#REF!</v>
      </c>
      <c r="N116" s="399" t="e">
        <f t="shared" si="7"/>
        <v>#REF!</v>
      </c>
      <c r="O116" s="400"/>
    </row>
    <row r="117" spans="1:16" ht="13.5" hidden="1" customHeight="1" thickBot="1" x14ac:dyDescent="0.25">
      <c r="A117" s="362"/>
      <c r="B117" s="390"/>
      <c r="C117" s="395" t="e">
        <f>IF('Per7'!C117&lt;&gt;"",'Per7'!C117,"")</f>
        <v>#REF!</v>
      </c>
      <c r="D117" s="396"/>
      <c r="E117" s="397"/>
      <c r="F117" s="402"/>
      <c r="G117" s="403"/>
      <c r="H117" s="402"/>
      <c r="I117" s="403"/>
      <c r="J117" s="136">
        <f t="shared" si="5"/>
        <v>0</v>
      </c>
      <c r="K117" s="132" t="e">
        <f>IF((J117+'Period 1'!#REF!+#REF!+#REF!+#REF!+#REF!+'Per6'!J117+'Per7'!J117)&lt;=24999,J117, 25000-'Period 1'!#REF!-#REF!-#REF!-#REF!-#REF!-'Per6'!K117-'Per7'!K117)</f>
        <v>#REF!</v>
      </c>
      <c r="L117" s="83" t="e">
        <f t="shared" si="8"/>
        <v>#REF!</v>
      </c>
      <c r="M117" s="32" t="e">
        <f t="shared" si="6"/>
        <v>#REF!</v>
      </c>
      <c r="N117" s="407" t="e">
        <f t="shared" si="7"/>
        <v>#REF!</v>
      </c>
      <c r="O117" s="408"/>
    </row>
    <row r="118" spans="1:16" ht="13.5" customHeight="1" thickBot="1" x14ac:dyDescent="0.25">
      <c r="A118" s="363"/>
      <c r="B118" s="391"/>
      <c r="C118" s="421" t="s">
        <v>21</v>
      </c>
      <c r="D118" s="421"/>
      <c r="E118" s="422"/>
      <c r="F118" s="423">
        <f>SUM(F98:G117)</f>
        <v>0</v>
      </c>
      <c r="G118" s="423"/>
      <c r="H118" s="423">
        <f>SUM(H98:I117)</f>
        <v>0</v>
      </c>
      <c r="I118" s="423"/>
      <c r="J118" s="137">
        <f>SUM(J98:J117)</f>
        <v>0</v>
      </c>
      <c r="K118" s="133" t="e">
        <f>SUM(K98:K117)</f>
        <v>#REF!</v>
      </c>
      <c r="L118" s="33" t="e">
        <f>SUM(L98:L117)</f>
        <v>#REF!</v>
      </c>
      <c r="M118" s="84" t="e">
        <f>SUM(M98:M117)</f>
        <v>#REF!</v>
      </c>
      <c r="N118" s="158"/>
      <c r="O118" s="159"/>
    </row>
    <row r="119" spans="1:16" ht="18" hidden="1" customHeight="1" thickBot="1" x14ac:dyDescent="0.25">
      <c r="A119" s="424"/>
      <c r="B119" s="424"/>
      <c r="C119" s="424"/>
      <c r="D119" s="424"/>
      <c r="E119" s="424"/>
      <c r="F119" s="424"/>
      <c r="G119" s="424"/>
      <c r="H119" s="424"/>
      <c r="I119" s="424"/>
      <c r="J119" s="424"/>
      <c r="K119" s="424"/>
      <c r="L119" s="424"/>
      <c r="M119" s="424"/>
      <c r="N119" s="382"/>
      <c r="O119" s="382"/>
      <c r="P119" s="77"/>
    </row>
    <row r="120" spans="1:16" ht="18" hidden="1" customHeight="1" x14ac:dyDescent="0.2">
      <c r="A120" s="211"/>
      <c r="B120" s="211"/>
      <c r="C120" s="211"/>
      <c r="D120" s="211"/>
      <c r="E120" s="211"/>
      <c r="F120" s="212" t="s">
        <v>229</v>
      </c>
      <c r="G120" s="211" t="e">
        <f>IF(MONTH(L5)&lt;9,YEAR(L5),YEAR(L5)+1)</f>
        <v>#REF!</v>
      </c>
      <c r="H120" s="211"/>
      <c r="I120" s="212" t="s">
        <v>230</v>
      </c>
      <c r="J120" s="212" t="s">
        <v>227</v>
      </c>
      <c r="K120" s="212" t="s">
        <v>228</v>
      </c>
      <c r="L120" s="211"/>
      <c r="M120" s="211"/>
      <c r="N120" s="211"/>
      <c r="O120" s="211"/>
      <c r="P120" s="77"/>
    </row>
    <row r="121" spans="1:16" ht="18" hidden="1" customHeight="1" x14ac:dyDescent="0.2">
      <c r="A121" s="211"/>
      <c r="B121" s="211"/>
      <c r="C121" s="211"/>
      <c r="D121" s="211"/>
      <c r="E121" s="211"/>
      <c r="F121" s="211"/>
      <c r="G121" s="211"/>
      <c r="H121" s="211"/>
      <c r="I121" s="211">
        <v>2018</v>
      </c>
      <c r="J121" s="211">
        <v>0.47</v>
      </c>
      <c r="K121" s="209">
        <f>DATE(I121,8,31)</f>
        <v>43343</v>
      </c>
      <c r="L121" s="211"/>
      <c r="M121" s="211"/>
      <c r="N121" s="211"/>
      <c r="O121" s="211"/>
      <c r="P121" s="77"/>
    </row>
    <row r="122" spans="1:16" ht="18" hidden="1" customHeight="1" x14ac:dyDescent="0.2">
      <c r="A122" s="211"/>
      <c r="B122" s="211"/>
      <c r="C122" s="211"/>
      <c r="D122" s="211"/>
      <c r="E122" s="211"/>
      <c r="F122" s="211"/>
      <c r="G122" s="211"/>
      <c r="H122" s="211"/>
      <c r="I122" s="211">
        <v>2019</v>
      </c>
      <c r="J122" s="211">
        <v>0.49</v>
      </c>
      <c r="K122" s="209">
        <f t="shared" ref="K122:K135" si="9">DATE(I122,8,31)</f>
        <v>43708</v>
      </c>
      <c r="L122" s="211"/>
      <c r="M122" s="211"/>
      <c r="N122" s="211"/>
      <c r="O122" s="211"/>
      <c r="P122" s="77"/>
    </row>
    <row r="123" spans="1:16" ht="18" hidden="1" customHeight="1" x14ac:dyDescent="0.2">
      <c r="A123" s="211"/>
      <c r="B123" s="211"/>
      <c r="C123" s="211"/>
      <c r="D123" s="211"/>
      <c r="E123" s="211"/>
      <c r="F123" s="211"/>
      <c r="G123" s="211"/>
      <c r="H123" s="211"/>
      <c r="I123" s="211">
        <v>2020</v>
      </c>
      <c r="J123" s="211">
        <v>0.495</v>
      </c>
      <c r="K123" s="209">
        <f t="shared" si="9"/>
        <v>44074</v>
      </c>
      <c r="L123" s="211"/>
      <c r="M123" s="211"/>
      <c r="N123" s="211"/>
      <c r="O123" s="211"/>
      <c r="P123" s="77"/>
    </row>
    <row r="124" spans="1:16" ht="18" hidden="1" customHeight="1" x14ac:dyDescent="0.2">
      <c r="A124" s="211"/>
      <c r="B124" s="211"/>
      <c r="C124" s="211"/>
      <c r="D124" s="211"/>
      <c r="E124" s="211"/>
      <c r="F124" s="211"/>
      <c r="G124" s="211"/>
      <c r="H124" s="211"/>
      <c r="I124" s="211">
        <v>2021</v>
      </c>
      <c r="J124" s="211">
        <v>0.5</v>
      </c>
      <c r="K124" s="209">
        <f t="shared" si="9"/>
        <v>44439</v>
      </c>
      <c r="L124" s="211"/>
      <c r="M124" s="211"/>
      <c r="N124" s="211"/>
      <c r="O124" s="211"/>
      <c r="P124" s="77"/>
    </row>
    <row r="125" spans="1:16" ht="18" hidden="1" customHeight="1" x14ac:dyDescent="0.2">
      <c r="A125" s="211"/>
      <c r="B125" s="211"/>
      <c r="C125" s="211"/>
      <c r="D125" s="211"/>
      <c r="E125" s="211"/>
      <c r="F125" s="211"/>
      <c r="G125" s="211"/>
      <c r="H125" s="211"/>
      <c r="I125" s="211">
        <v>2022</v>
      </c>
      <c r="J125" s="211">
        <v>0.5</v>
      </c>
      <c r="K125" s="209">
        <f t="shared" si="9"/>
        <v>44804</v>
      </c>
      <c r="L125" s="211"/>
      <c r="M125" s="211"/>
      <c r="N125" s="211"/>
      <c r="O125" s="211"/>
      <c r="P125" s="77"/>
    </row>
    <row r="126" spans="1:16" ht="18" hidden="1" customHeight="1" x14ac:dyDescent="0.2">
      <c r="A126" s="211"/>
      <c r="B126" s="211"/>
      <c r="C126" s="211"/>
      <c r="D126" s="211"/>
      <c r="E126" s="211"/>
      <c r="F126" s="211"/>
      <c r="G126" s="211"/>
      <c r="H126" s="211"/>
      <c r="I126" s="211">
        <v>2023</v>
      </c>
      <c r="J126" s="211">
        <v>0.5</v>
      </c>
      <c r="K126" s="209">
        <f t="shared" si="9"/>
        <v>45169</v>
      </c>
      <c r="L126" s="211"/>
      <c r="M126" s="211"/>
      <c r="N126" s="211"/>
      <c r="O126" s="211"/>
      <c r="P126" s="77"/>
    </row>
    <row r="127" spans="1:16" ht="18" hidden="1" customHeight="1" x14ac:dyDescent="0.2">
      <c r="A127" s="211"/>
      <c r="B127" s="211"/>
      <c r="C127" s="211"/>
      <c r="D127" s="211"/>
      <c r="E127" s="211"/>
      <c r="F127" s="211"/>
      <c r="G127" s="211"/>
      <c r="H127" s="211"/>
      <c r="I127" s="211">
        <v>2024</v>
      </c>
      <c r="J127" s="211">
        <v>0.5</v>
      </c>
      <c r="K127" s="209">
        <f t="shared" si="9"/>
        <v>45535</v>
      </c>
      <c r="L127" s="211"/>
      <c r="M127" s="211"/>
      <c r="N127" s="211"/>
      <c r="O127" s="211"/>
      <c r="P127" s="77"/>
    </row>
    <row r="128" spans="1:16" ht="18" hidden="1" customHeight="1" x14ac:dyDescent="0.2">
      <c r="A128" s="211"/>
      <c r="B128" s="211"/>
      <c r="C128" s="211"/>
      <c r="D128" s="211"/>
      <c r="E128" s="211"/>
      <c r="F128" s="211"/>
      <c r="G128" s="211"/>
      <c r="H128" s="211"/>
      <c r="I128" s="211">
        <v>2025</v>
      </c>
      <c r="J128" s="211">
        <v>0.5</v>
      </c>
      <c r="K128" s="209">
        <f t="shared" si="9"/>
        <v>45900</v>
      </c>
      <c r="L128" s="211"/>
      <c r="M128" s="211"/>
      <c r="N128" s="211"/>
      <c r="O128" s="211"/>
      <c r="P128" s="77"/>
    </row>
    <row r="129" spans="1:16" ht="18" hidden="1" customHeight="1" x14ac:dyDescent="0.2">
      <c r="A129" s="211"/>
      <c r="B129" s="211"/>
      <c r="C129" s="211"/>
      <c r="D129" s="211"/>
      <c r="E129" s="211"/>
      <c r="F129" s="211"/>
      <c r="G129" s="211"/>
      <c r="H129" s="211"/>
      <c r="I129" s="211">
        <v>2026</v>
      </c>
      <c r="J129" s="211">
        <v>0.5</v>
      </c>
      <c r="K129" s="209">
        <f t="shared" si="9"/>
        <v>46265</v>
      </c>
      <c r="L129" s="211"/>
      <c r="M129" s="211"/>
      <c r="N129" s="211"/>
      <c r="O129" s="211"/>
      <c r="P129" s="77"/>
    </row>
    <row r="130" spans="1:16" ht="18" hidden="1" customHeight="1" x14ac:dyDescent="0.2">
      <c r="A130" s="211"/>
      <c r="B130" s="211"/>
      <c r="C130" s="211"/>
      <c r="D130" s="211"/>
      <c r="E130" s="211"/>
      <c r="F130" s="211"/>
      <c r="G130" s="211"/>
      <c r="H130" s="211"/>
      <c r="I130" s="211">
        <v>2027</v>
      </c>
      <c r="J130" s="211">
        <v>0.5</v>
      </c>
      <c r="K130" s="209">
        <f t="shared" si="9"/>
        <v>46630</v>
      </c>
      <c r="L130" s="211"/>
      <c r="M130" s="211"/>
      <c r="N130" s="211"/>
      <c r="O130" s="211"/>
      <c r="P130" s="77"/>
    </row>
    <row r="131" spans="1:16" ht="18" hidden="1" customHeight="1" x14ac:dyDescent="0.2">
      <c r="A131" s="211"/>
      <c r="B131" s="211"/>
      <c r="C131" s="211"/>
      <c r="D131" s="211"/>
      <c r="E131" s="211"/>
      <c r="F131" s="211"/>
      <c r="G131" s="211"/>
      <c r="H131" s="211"/>
      <c r="I131" s="211">
        <v>2028</v>
      </c>
      <c r="J131" s="211">
        <v>0.5</v>
      </c>
      <c r="K131" s="209">
        <f t="shared" si="9"/>
        <v>46996</v>
      </c>
      <c r="L131" s="211"/>
      <c r="M131" s="211"/>
      <c r="N131" s="211"/>
      <c r="O131" s="211"/>
      <c r="P131" s="77"/>
    </row>
    <row r="132" spans="1:16" ht="18" hidden="1" customHeight="1" x14ac:dyDescent="0.2">
      <c r="A132" s="211"/>
      <c r="B132" s="211"/>
      <c r="C132" s="211"/>
      <c r="D132" s="211"/>
      <c r="E132" s="211"/>
      <c r="F132" s="211"/>
      <c r="G132" s="211"/>
      <c r="H132" s="211"/>
      <c r="I132" s="211">
        <v>2029</v>
      </c>
      <c r="J132" s="211">
        <v>0.5</v>
      </c>
      <c r="K132" s="209">
        <f t="shared" si="9"/>
        <v>47361</v>
      </c>
      <c r="L132" s="211"/>
      <c r="M132" s="211"/>
      <c r="N132" s="211"/>
      <c r="O132" s="211"/>
      <c r="P132" s="77"/>
    </row>
    <row r="133" spans="1:16" ht="18" hidden="1" customHeight="1" x14ac:dyDescent="0.2">
      <c r="A133" s="211"/>
      <c r="B133" s="211"/>
      <c r="C133" s="211"/>
      <c r="D133" s="211"/>
      <c r="E133" s="211"/>
      <c r="F133" s="211"/>
      <c r="G133" s="211"/>
      <c r="H133" s="211"/>
      <c r="I133" s="211">
        <v>2030</v>
      </c>
      <c r="J133" s="211">
        <v>0.5</v>
      </c>
      <c r="K133" s="209">
        <f t="shared" si="9"/>
        <v>47726</v>
      </c>
      <c r="L133" s="211"/>
      <c r="M133" s="211"/>
      <c r="N133" s="211"/>
      <c r="O133" s="211"/>
      <c r="P133" s="77"/>
    </row>
    <row r="134" spans="1:16" ht="18" hidden="1" customHeight="1" x14ac:dyDescent="0.2">
      <c r="A134" s="211"/>
      <c r="B134" s="211"/>
      <c r="C134" s="211"/>
      <c r="D134" s="211"/>
      <c r="E134" s="211"/>
      <c r="F134" s="211"/>
      <c r="G134" s="211"/>
      <c r="H134" s="211"/>
      <c r="I134" s="211">
        <v>2031</v>
      </c>
      <c r="J134" s="211">
        <v>0.5</v>
      </c>
      <c r="K134" s="209">
        <f t="shared" si="9"/>
        <v>48091</v>
      </c>
      <c r="L134" s="211"/>
      <c r="M134" s="211"/>
      <c r="N134" s="211"/>
      <c r="O134" s="211"/>
      <c r="P134" s="77"/>
    </row>
    <row r="135" spans="1:16" ht="18" hidden="1" customHeight="1" x14ac:dyDescent="0.2">
      <c r="A135" s="211"/>
      <c r="B135" s="211"/>
      <c r="C135" s="211"/>
      <c r="D135" s="211"/>
      <c r="E135" s="211"/>
      <c r="F135" s="211"/>
      <c r="G135" s="211"/>
      <c r="H135" s="211"/>
      <c r="I135" s="211">
        <v>2032</v>
      </c>
      <c r="J135" s="211">
        <v>0.5</v>
      </c>
      <c r="K135" s="209">
        <f t="shared" si="9"/>
        <v>48457</v>
      </c>
      <c r="L135" s="211"/>
      <c r="M135" s="211"/>
      <c r="N135" s="211"/>
      <c r="O135" s="211"/>
      <c r="P135" s="77"/>
    </row>
    <row r="136" spans="1:16" ht="18" customHeight="1" thickBot="1" x14ac:dyDescent="0.25">
      <c r="A136" s="211"/>
      <c r="B136" s="211"/>
      <c r="C136" s="211"/>
      <c r="D136" s="211"/>
      <c r="E136" s="211"/>
      <c r="F136" s="211"/>
      <c r="G136" s="211"/>
      <c r="H136" s="211"/>
      <c r="I136" s="211"/>
      <c r="J136" s="211"/>
      <c r="K136" s="211"/>
      <c r="L136" s="211"/>
      <c r="M136" s="211"/>
      <c r="N136" s="211"/>
      <c r="O136" s="211"/>
      <c r="P136" s="77"/>
    </row>
    <row r="137" spans="1:16" ht="13.5" customHeight="1" x14ac:dyDescent="0.2">
      <c r="A137" s="361" t="s">
        <v>63</v>
      </c>
      <c r="B137" s="425" t="s">
        <v>78</v>
      </c>
      <c r="C137" s="426"/>
      <c r="D137" s="426"/>
      <c r="E137" s="426"/>
      <c r="F137" s="427"/>
      <c r="G137" s="437" t="s">
        <v>43</v>
      </c>
      <c r="H137" s="438"/>
      <c r="I137" s="438"/>
      <c r="J137" s="438"/>
      <c r="K137" s="439"/>
      <c r="L137" s="428" t="s">
        <v>79</v>
      </c>
      <c r="M137" s="429"/>
      <c r="N137" s="430"/>
      <c r="O137" s="23" t="e">
        <f>O148-H118</f>
        <v>#REF!</v>
      </c>
      <c r="P137" s="79"/>
    </row>
    <row r="138" spans="1:16" ht="13.5" customHeight="1" x14ac:dyDescent="0.2">
      <c r="A138" s="362"/>
      <c r="B138" s="431" t="s">
        <v>37</v>
      </c>
      <c r="C138" s="432"/>
      <c r="D138" s="432"/>
      <c r="E138" s="432"/>
      <c r="F138" s="433"/>
      <c r="G138" s="440"/>
      <c r="H138" s="441"/>
      <c r="I138" s="441"/>
      <c r="J138" s="441"/>
      <c r="K138" s="442"/>
      <c r="L138" s="434" t="s">
        <v>19</v>
      </c>
      <c r="M138" s="435"/>
      <c r="N138" s="436"/>
      <c r="O138" s="24">
        <f>H118</f>
        <v>0</v>
      </c>
      <c r="P138" s="79"/>
    </row>
    <row r="139" spans="1:16" ht="13.5" customHeight="1" x14ac:dyDescent="0.2">
      <c r="A139" s="362"/>
      <c r="B139" s="210"/>
      <c r="C139" s="208" t="s">
        <v>226</v>
      </c>
      <c r="D139" s="208"/>
      <c r="E139" s="208"/>
      <c r="F139" s="205">
        <v>0.47</v>
      </c>
      <c r="G139" s="440"/>
      <c r="H139" s="441"/>
      <c r="I139" s="441"/>
      <c r="J139" s="441"/>
      <c r="K139" s="442"/>
      <c r="L139" s="418" t="s">
        <v>40</v>
      </c>
      <c r="M139" s="419"/>
      <c r="N139" s="420"/>
      <c r="O139" s="25" t="e">
        <f>O148-O83-O79-O88-O96+K118</f>
        <v>#REF!</v>
      </c>
      <c r="P139" s="79"/>
    </row>
    <row r="140" spans="1:16" ht="13.5" customHeight="1" x14ac:dyDescent="0.3">
      <c r="A140" s="362"/>
      <c r="B140" s="210"/>
      <c r="C140" s="208" t="s">
        <v>221</v>
      </c>
      <c r="D140" s="208"/>
      <c r="E140" s="208"/>
      <c r="F140" s="205">
        <v>0.49</v>
      </c>
      <c r="G140" s="440"/>
      <c r="H140" s="441"/>
      <c r="I140" s="441"/>
      <c r="J140" s="441"/>
      <c r="K140" s="442"/>
      <c r="L140" s="199" t="s">
        <v>217</v>
      </c>
      <c r="M140" s="202" t="e">
        <f>VLOOKUP($G$120,$I$121:$J$135,2,FALSE)</f>
        <v>#REF!</v>
      </c>
      <c r="N140" s="203" t="s">
        <v>224</v>
      </c>
      <c r="O140" s="25" t="e">
        <f>IF($L$7-VLOOKUP($G$120,$I$121:$K$135,3,FALSE)&lt;0,$O$139,ROUND((1-($L$7-VLOOKUP($G$120,$I$121:$K$135,3,FALSE))/($L$7+1-$L$5))*$O$139,0))</f>
        <v>#REF!</v>
      </c>
      <c r="P140" s="80"/>
    </row>
    <row r="141" spans="1:16" ht="13.5" customHeight="1" x14ac:dyDescent="0.3">
      <c r="A141" s="362"/>
      <c r="B141" s="210"/>
      <c r="C141" s="208" t="s">
        <v>222</v>
      </c>
      <c r="D141" s="208"/>
      <c r="E141" s="208"/>
      <c r="F141" s="206">
        <v>0.495</v>
      </c>
      <c r="G141" s="440"/>
      <c r="H141" s="441"/>
      <c r="I141" s="441"/>
      <c r="J141" s="441"/>
      <c r="K141" s="442"/>
      <c r="L141" s="200" t="s">
        <v>218</v>
      </c>
      <c r="M141" s="202" t="e">
        <f>VLOOKUP($G$120+1,$I$121:$J$135,2,FALSE)</f>
        <v>#REF!</v>
      </c>
      <c r="N141" s="203" t="s">
        <v>225</v>
      </c>
      <c r="O141" s="25" t="e">
        <f>O139-O140</f>
        <v>#REF!</v>
      </c>
      <c r="P141" s="80"/>
    </row>
    <row r="142" spans="1:16" ht="13.5" customHeight="1" x14ac:dyDescent="0.3">
      <c r="A142" s="362"/>
      <c r="B142" s="207"/>
      <c r="C142" s="208" t="s">
        <v>223</v>
      </c>
      <c r="D142" s="208"/>
      <c r="E142" s="208"/>
      <c r="F142" s="205">
        <v>0.5</v>
      </c>
      <c r="G142" s="440"/>
      <c r="H142" s="441"/>
      <c r="I142" s="441"/>
      <c r="J142" s="441"/>
      <c r="K142" s="442"/>
      <c r="L142" s="446" t="s">
        <v>219</v>
      </c>
      <c r="M142" s="447"/>
      <c r="N142" s="448"/>
      <c r="O142" s="201" t="e">
        <f>ROUND(M140*O140,0)</f>
        <v>#REF!</v>
      </c>
      <c r="P142" s="80"/>
    </row>
    <row r="143" spans="1:16" ht="13.5" customHeight="1" x14ac:dyDescent="0.3">
      <c r="A143" s="362"/>
      <c r="B143" s="207"/>
      <c r="C143" s="208" t="s">
        <v>231</v>
      </c>
      <c r="D143" s="208"/>
      <c r="E143" s="208"/>
      <c r="F143" s="205">
        <v>0.5</v>
      </c>
      <c r="G143" s="443"/>
      <c r="H143" s="444"/>
      <c r="I143" s="444"/>
      <c r="J143" s="444"/>
      <c r="K143" s="445"/>
      <c r="L143" s="449" t="s">
        <v>220</v>
      </c>
      <c r="M143" s="450"/>
      <c r="N143" s="451"/>
      <c r="O143" s="204" t="e">
        <f>ROUND(M141*O141,0)</f>
        <v>#REF!</v>
      </c>
      <c r="P143" s="80"/>
    </row>
    <row r="144" spans="1:16" ht="13.5" customHeight="1" x14ac:dyDescent="0.2">
      <c r="A144" s="362"/>
      <c r="B144" s="207"/>
      <c r="C144" s="213" t="s">
        <v>232</v>
      </c>
      <c r="D144" s="208"/>
      <c r="E144" s="208"/>
      <c r="F144" s="205">
        <v>0.36</v>
      </c>
      <c r="G144" s="452" t="s">
        <v>175</v>
      </c>
      <c r="H144" s="453"/>
      <c r="I144" s="453"/>
      <c r="J144" s="453"/>
      <c r="K144" s="453"/>
      <c r="L144" s="453"/>
      <c r="M144" s="453"/>
      <c r="N144" s="453"/>
      <c r="O144" s="454"/>
      <c r="P144" s="65"/>
    </row>
    <row r="145" spans="1:17" ht="13.5" customHeight="1" x14ac:dyDescent="0.2">
      <c r="A145" s="362"/>
      <c r="B145" s="431" t="s">
        <v>36</v>
      </c>
      <c r="C145" s="432"/>
      <c r="D145" s="432"/>
      <c r="E145" s="432"/>
      <c r="F145" s="433"/>
      <c r="G145" s="455"/>
      <c r="H145" s="456"/>
      <c r="I145" s="456"/>
      <c r="J145" s="456"/>
      <c r="K145" s="456"/>
      <c r="L145" s="456"/>
      <c r="M145" s="456"/>
      <c r="N145" s="456"/>
      <c r="O145" s="457"/>
      <c r="P145" s="65"/>
    </row>
    <row r="146" spans="1:17" ht="14.25" customHeight="1" thickBot="1" x14ac:dyDescent="0.25">
      <c r="A146" s="363"/>
      <c r="B146" s="207"/>
      <c r="C146" s="208" t="s">
        <v>233</v>
      </c>
      <c r="D146" s="208"/>
      <c r="E146" s="208"/>
      <c r="F146" s="205">
        <v>0.26</v>
      </c>
      <c r="G146" s="458"/>
      <c r="H146" s="459"/>
      <c r="I146" s="459"/>
      <c r="J146" s="459"/>
      <c r="K146" s="459"/>
      <c r="L146" s="459"/>
      <c r="M146" s="459"/>
      <c r="N146" s="459"/>
      <c r="O146" s="460"/>
      <c r="P146" s="65"/>
    </row>
    <row r="147" spans="1:17" ht="18" customHeight="1" thickBot="1" x14ac:dyDescent="0.25">
      <c r="A147" s="295"/>
      <c r="B147" s="295"/>
      <c r="C147" s="295"/>
      <c r="D147" s="295"/>
      <c r="E147" s="295"/>
      <c r="F147" s="295"/>
      <c r="G147" s="295"/>
      <c r="H147" s="295"/>
      <c r="I147" s="295"/>
      <c r="J147" s="295"/>
      <c r="K147" s="295"/>
      <c r="L147" s="295"/>
      <c r="M147" s="295"/>
      <c r="N147" s="295"/>
      <c r="O147" s="295"/>
      <c r="P147" s="77"/>
    </row>
    <row r="148" spans="1:17" ht="17.100000000000001" customHeight="1" x14ac:dyDescent="0.25">
      <c r="A148" s="296" t="s">
        <v>45</v>
      </c>
      <c r="B148" s="297"/>
      <c r="C148" s="302" t="s">
        <v>23</v>
      </c>
      <c r="D148" s="303"/>
      <c r="E148" s="303"/>
      <c r="F148" s="306"/>
      <c r="G148" s="307"/>
      <c r="H148" s="29"/>
      <c r="I148" s="310" t="s">
        <v>62</v>
      </c>
      <c r="J148" s="313" t="str">
        <f>K3</f>
        <v>Period 8</v>
      </c>
      <c r="K148" s="412" t="s">
        <v>61</v>
      </c>
      <c r="L148" s="413"/>
      <c r="M148" s="413"/>
      <c r="N148" s="414"/>
      <c r="O148" s="26" t="e">
        <f>O35+O79+O64+O83+O67+O96+O88</f>
        <v>#REF!</v>
      </c>
      <c r="P148" s="81"/>
    </row>
    <row r="149" spans="1:17" ht="17.100000000000001" customHeight="1" x14ac:dyDescent="0.25">
      <c r="A149" s="298"/>
      <c r="B149" s="299"/>
      <c r="C149" s="304"/>
      <c r="D149" s="305"/>
      <c r="E149" s="305"/>
      <c r="F149" s="308"/>
      <c r="G149" s="309"/>
      <c r="H149" s="30"/>
      <c r="I149" s="311"/>
      <c r="J149" s="314"/>
      <c r="K149" s="415" t="s">
        <v>186</v>
      </c>
      <c r="L149" s="416"/>
      <c r="M149" s="416"/>
      <c r="N149" s="417"/>
      <c r="O149" s="27" t="e">
        <f>O142+O143</f>
        <v>#REF!</v>
      </c>
      <c r="P149" s="81"/>
      <c r="Q149" s="55"/>
    </row>
    <row r="150" spans="1:17" ht="17.100000000000001" customHeight="1" thickBot="1" x14ac:dyDescent="0.3">
      <c r="A150" s="300"/>
      <c r="B150" s="301"/>
      <c r="C150" s="316" t="s">
        <v>22</v>
      </c>
      <c r="D150" s="317"/>
      <c r="E150" s="318"/>
      <c r="F150" s="319" t="e">
        <f>IF(O151&lt;&gt;0,F148/O151,"-")</f>
        <v>#REF!</v>
      </c>
      <c r="G150" s="320"/>
      <c r="H150" s="29"/>
      <c r="I150" s="311"/>
      <c r="J150" s="314"/>
      <c r="K150" s="321" t="s">
        <v>46</v>
      </c>
      <c r="L150" s="322"/>
      <c r="M150" s="322"/>
      <c r="N150" s="323"/>
      <c r="O150" s="27" t="e">
        <f>O148+O149</f>
        <v>#REF!</v>
      </c>
      <c r="P150" s="81"/>
    </row>
    <row r="151" spans="1:17" ht="17.100000000000001" customHeight="1" thickBot="1" x14ac:dyDescent="0.3">
      <c r="A151" s="324"/>
      <c r="B151" s="324"/>
      <c r="C151" s="324"/>
      <c r="D151" s="324"/>
      <c r="E151" s="324"/>
      <c r="F151" s="324"/>
      <c r="G151" s="324"/>
      <c r="H151" s="325"/>
      <c r="I151" s="312"/>
      <c r="J151" s="315"/>
      <c r="K151" s="326" t="s">
        <v>58</v>
      </c>
      <c r="L151" s="327"/>
      <c r="M151" s="327"/>
      <c r="N151" s="328"/>
      <c r="O151" s="28" t="e">
        <f>O150+F148</f>
        <v>#REF!</v>
      </c>
      <c r="P151" s="81"/>
    </row>
    <row r="159" spans="1:17" x14ac:dyDescent="0.2">
      <c r="Q159" s="55"/>
    </row>
  </sheetData>
  <sheetProtection insertRows="0"/>
  <mergeCells count="220">
    <mergeCell ref="B35:J35"/>
    <mergeCell ref="K35:L35"/>
    <mergeCell ref="K148:N148"/>
    <mergeCell ref="K149:N149"/>
    <mergeCell ref="L139:N139"/>
    <mergeCell ref="C118:E118"/>
    <mergeCell ref="F118:G118"/>
    <mergeCell ref="H118:I118"/>
    <mergeCell ref="A119:O119"/>
    <mergeCell ref="B137:F137"/>
    <mergeCell ref="L137:N137"/>
    <mergeCell ref="B138:F138"/>
    <mergeCell ref="L138:N138"/>
    <mergeCell ref="A137:A146"/>
    <mergeCell ref="G137:K143"/>
    <mergeCell ref="L142:N142"/>
    <mergeCell ref="L143:N143"/>
    <mergeCell ref="G144:O146"/>
    <mergeCell ref="B145:F145"/>
    <mergeCell ref="C116:E116"/>
    <mergeCell ref="F116:G116"/>
    <mergeCell ref="H116:I116"/>
    <mergeCell ref="N116:O116"/>
    <mergeCell ref="C117:E117"/>
    <mergeCell ref="F117:G117"/>
    <mergeCell ref="H117:I117"/>
    <mergeCell ref="N117:O117"/>
    <mergeCell ref="C114:E114"/>
    <mergeCell ref="F114:G114"/>
    <mergeCell ref="H114:I114"/>
    <mergeCell ref="N114:O114"/>
    <mergeCell ref="C115:E115"/>
    <mergeCell ref="F115:G115"/>
    <mergeCell ref="H115:I115"/>
    <mergeCell ref="N115:O115"/>
    <mergeCell ref="C112:E112"/>
    <mergeCell ref="F112:G112"/>
    <mergeCell ref="H112:I112"/>
    <mergeCell ref="N112:O112"/>
    <mergeCell ref="C113:E113"/>
    <mergeCell ref="F113:G113"/>
    <mergeCell ref="H113:I113"/>
    <mergeCell ref="N113:O113"/>
    <mergeCell ref="C110:E110"/>
    <mergeCell ref="F110:G110"/>
    <mergeCell ref="H110:I110"/>
    <mergeCell ref="N110:O110"/>
    <mergeCell ref="C111:E111"/>
    <mergeCell ref="F111:G111"/>
    <mergeCell ref="H111:I111"/>
    <mergeCell ref="N111:O111"/>
    <mergeCell ref="C108:E108"/>
    <mergeCell ref="F108:G108"/>
    <mergeCell ref="H108:I108"/>
    <mergeCell ref="N108:O108"/>
    <mergeCell ref="C109:E109"/>
    <mergeCell ref="F109:G109"/>
    <mergeCell ref="H109:I109"/>
    <mergeCell ref="N109:O109"/>
    <mergeCell ref="C106:E106"/>
    <mergeCell ref="F106:G106"/>
    <mergeCell ref="H106:I106"/>
    <mergeCell ref="N106:O106"/>
    <mergeCell ref="C107:E107"/>
    <mergeCell ref="F107:G107"/>
    <mergeCell ref="H107:I107"/>
    <mergeCell ref="N107:O107"/>
    <mergeCell ref="F104:G104"/>
    <mergeCell ref="H104:I104"/>
    <mergeCell ref="N104:O104"/>
    <mergeCell ref="C105:E105"/>
    <mergeCell ref="F105:G105"/>
    <mergeCell ref="H105:I105"/>
    <mergeCell ref="N105:O105"/>
    <mergeCell ref="C102:E102"/>
    <mergeCell ref="F102:G102"/>
    <mergeCell ref="H102:I102"/>
    <mergeCell ref="N102:O102"/>
    <mergeCell ref="C103:E103"/>
    <mergeCell ref="F103:G103"/>
    <mergeCell ref="H103:I103"/>
    <mergeCell ref="N103:O103"/>
    <mergeCell ref="B95:O95"/>
    <mergeCell ref="A96:A118"/>
    <mergeCell ref="B96:M96"/>
    <mergeCell ref="B97:B118"/>
    <mergeCell ref="F97:G97"/>
    <mergeCell ref="H97:I97"/>
    <mergeCell ref="C100:E100"/>
    <mergeCell ref="F100:G100"/>
    <mergeCell ref="H100:I100"/>
    <mergeCell ref="N100:O100"/>
    <mergeCell ref="C101:E101"/>
    <mergeCell ref="F101:G101"/>
    <mergeCell ref="H101:I101"/>
    <mergeCell ref="N101:O101"/>
    <mergeCell ref="N97:O97"/>
    <mergeCell ref="C98:E98"/>
    <mergeCell ref="F98:G98"/>
    <mergeCell ref="H98:I98"/>
    <mergeCell ref="N98:O98"/>
    <mergeCell ref="C99:E99"/>
    <mergeCell ref="F99:G99"/>
    <mergeCell ref="H99:I99"/>
    <mergeCell ref="N99:O99"/>
    <mergeCell ref="C104:E104"/>
    <mergeCell ref="B85:N85"/>
    <mergeCell ref="B86:N86"/>
    <mergeCell ref="B87:N87"/>
    <mergeCell ref="B88:M88"/>
    <mergeCell ref="B89:N89"/>
    <mergeCell ref="B90:N90"/>
    <mergeCell ref="B76:N76"/>
    <mergeCell ref="B77:N77"/>
    <mergeCell ref="A78:O78"/>
    <mergeCell ref="A79:A94"/>
    <mergeCell ref="B79:M79"/>
    <mergeCell ref="B80:N80"/>
    <mergeCell ref="B81:N81"/>
    <mergeCell ref="B82:N82"/>
    <mergeCell ref="B83:M83"/>
    <mergeCell ref="B84:N84"/>
    <mergeCell ref="B91:N91"/>
    <mergeCell ref="B92:N92"/>
    <mergeCell ref="B93:N93"/>
    <mergeCell ref="B94:N94"/>
    <mergeCell ref="B68:N68"/>
    <mergeCell ref="B69:N69"/>
    <mergeCell ref="B70:N70"/>
    <mergeCell ref="B71:N71"/>
    <mergeCell ref="B74:N74"/>
    <mergeCell ref="B75:N75"/>
    <mergeCell ref="B64:M64"/>
    <mergeCell ref="B65:N65"/>
    <mergeCell ref="B66:N66"/>
    <mergeCell ref="B67:M67"/>
    <mergeCell ref="B61:C61"/>
    <mergeCell ref="G61:H61"/>
    <mergeCell ref="B62:C62"/>
    <mergeCell ref="G62:H62"/>
    <mergeCell ref="B63:C63"/>
    <mergeCell ref="G63:H63"/>
    <mergeCell ref="B58:C58"/>
    <mergeCell ref="G58:H58"/>
    <mergeCell ref="B59:C59"/>
    <mergeCell ref="G59:H59"/>
    <mergeCell ref="B60:C60"/>
    <mergeCell ref="G60:H60"/>
    <mergeCell ref="B55:C55"/>
    <mergeCell ref="G55:H55"/>
    <mergeCell ref="B56:C56"/>
    <mergeCell ref="G56:H56"/>
    <mergeCell ref="B57:C57"/>
    <mergeCell ref="G57:H57"/>
    <mergeCell ref="B52:C52"/>
    <mergeCell ref="G52:H52"/>
    <mergeCell ref="B53:C53"/>
    <mergeCell ref="G53:H53"/>
    <mergeCell ref="B54:C54"/>
    <mergeCell ref="G54:H54"/>
    <mergeCell ref="B50:C50"/>
    <mergeCell ref="G50:H50"/>
    <mergeCell ref="B51:C51"/>
    <mergeCell ref="G51:H51"/>
    <mergeCell ref="B46:C46"/>
    <mergeCell ref="G46:H46"/>
    <mergeCell ref="B47:C47"/>
    <mergeCell ref="G47:H47"/>
    <mergeCell ref="B48:C48"/>
    <mergeCell ref="G48:H48"/>
    <mergeCell ref="A34:O34"/>
    <mergeCell ref="A35:A77"/>
    <mergeCell ref="B36:C36"/>
    <mergeCell ref="G36:H36"/>
    <mergeCell ref="B37:C37"/>
    <mergeCell ref="G37:H37"/>
    <mergeCell ref="B38:C38"/>
    <mergeCell ref="G38:H38"/>
    <mergeCell ref="B39:C39"/>
    <mergeCell ref="B43:C43"/>
    <mergeCell ref="G43:H43"/>
    <mergeCell ref="B44:C44"/>
    <mergeCell ref="G44:H44"/>
    <mergeCell ref="B45:C45"/>
    <mergeCell ref="G45:H45"/>
    <mergeCell ref="G39:H39"/>
    <mergeCell ref="B40:C40"/>
    <mergeCell ref="G40:H40"/>
    <mergeCell ref="B41:C41"/>
    <mergeCell ref="G41:H41"/>
    <mergeCell ref="B42:C42"/>
    <mergeCell ref="G42:H42"/>
    <mergeCell ref="B49:C49"/>
    <mergeCell ref="G49:H49"/>
    <mergeCell ref="A5:C6"/>
    <mergeCell ref="D5:F6"/>
    <mergeCell ref="K5:K6"/>
    <mergeCell ref="L5:L6"/>
    <mergeCell ref="A7:C9"/>
    <mergeCell ref="D7:F9"/>
    <mergeCell ref="K7:K8"/>
    <mergeCell ref="L7:L8"/>
    <mergeCell ref="A1:O1"/>
    <mergeCell ref="A2:O2"/>
    <mergeCell ref="A3:C4"/>
    <mergeCell ref="D3:F4"/>
    <mergeCell ref="K3:L4"/>
    <mergeCell ref="M3:O3"/>
    <mergeCell ref="M4:O4"/>
    <mergeCell ref="A147:O147"/>
    <mergeCell ref="A148:B150"/>
    <mergeCell ref="C148:E149"/>
    <mergeCell ref="F148:G149"/>
    <mergeCell ref="I148:I151"/>
    <mergeCell ref="J148:J151"/>
    <mergeCell ref="C150:E150"/>
    <mergeCell ref="F150:G150"/>
    <mergeCell ref="K150:N150"/>
    <mergeCell ref="A151:H151"/>
    <mergeCell ref="K151:N151"/>
  </mergeCells>
  <conditionalFormatting sqref="J37:J63">
    <cfRule type="expression" dxfId="2" priority="1">
      <formula>E37&lt;&gt;"Hourly"</formula>
    </cfRule>
  </conditionalFormatting>
  <dataValidations count="2">
    <dataValidation type="list" allowBlank="1" showInputMessage="1" showErrorMessage="1" sqref="F37:F63" xr:uid="{00000000-0002-0000-0300-000000000000}">
      <formula1>INDIRECT(E37)</formula1>
    </dataValidation>
    <dataValidation type="list" allowBlank="1" showInputMessage="1" showErrorMessage="1" sqref="E37:E63" xr:uid="{00000000-0002-0000-0300-000001000000}">
      <formula1>$B$11:$B$16</formula1>
    </dataValidation>
  </dataValidations>
  <printOptions horizontalCentered="1" verticalCentered="1"/>
  <pageMargins left="0.25" right="0.25" top="0.5" bottom="0.5" header="0" footer="0"/>
  <pageSetup scale="65" orientation="portrait" r:id="rId1"/>
  <headerFooter alignWithMargins="0">
    <oddFooter xml:space="preserve">&amp;R&amp;K000000
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159"/>
  <sheetViews>
    <sheetView topLeftCell="A85" zoomScale="85" zoomScaleNormal="85" zoomScalePageLayoutView="85" workbookViewId="0">
      <selection activeCell="C144" sqref="C144"/>
    </sheetView>
  </sheetViews>
  <sheetFormatPr defaultColWidth="8.85546875" defaultRowHeight="12.75" x14ac:dyDescent="0.2"/>
  <cols>
    <col min="1" max="1" width="4.140625" style="1" customWidth="1"/>
    <col min="2" max="2" width="4.28515625" style="1" customWidth="1"/>
    <col min="3" max="3" width="13.28515625" style="1" customWidth="1"/>
    <col min="4" max="4" width="7.42578125" style="1" customWidth="1"/>
    <col min="5" max="5" width="14.7109375" style="1" customWidth="1"/>
    <col min="6" max="6" width="10.42578125" style="1" customWidth="1"/>
    <col min="7" max="7" width="6.42578125" style="1" customWidth="1"/>
    <col min="8" max="8" width="6.28515625" style="1" customWidth="1"/>
    <col min="9" max="9" width="8.7109375" style="1" customWidth="1"/>
    <col min="10" max="10" width="11.7109375" style="2" customWidth="1"/>
    <col min="11" max="11" width="13" style="2" customWidth="1"/>
    <col min="12" max="13" width="12.85546875" style="1" customWidth="1"/>
    <col min="14" max="14" width="12.42578125" style="1" customWidth="1"/>
    <col min="15" max="15" width="17.140625" style="1" customWidth="1"/>
    <col min="16" max="16" width="12" style="1" customWidth="1"/>
    <col min="17" max="17" width="35.42578125" style="1" customWidth="1"/>
    <col min="18" max="18" width="14.28515625" style="1" customWidth="1"/>
    <col min="19" max="16384" width="8.85546875" style="1"/>
  </cols>
  <sheetData>
    <row r="1" spans="1:18" s="4" customFormat="1" ht="21.95" customHeight="1" x14ac:dyDescent="0.2">
      <c r="A1" s="342" t="s">
        <v>11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67"/>
    </row>
    <row r="2" spans="1:18" s="4" customFormat="1" ht="21.95" customHeight="1" thickBot="1" x14ac:dyDescent="0.25">
      <c r="A2" s="343" t="s">
        <v>10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68"/>
    </row>
    <row r="3" spans="1:18" s="4" customFormat="1" ht="12" customHeight="1" x14ac:dyDescent="0.25">
      <c r="A3" s="344" t="s">
        <v>176</v>
      </c>
      <c r="B3" s="345"/>
      <c r="C3" s="345"/>
      <c r="D3" s="348" t="e">
        <f>'Per8'!D3</f>
        <v>#REF!</v>
      </c>
      <c r="E3" s="348"/>
      <c r="F3" s="348"/>
      <c r="G3" s="56"/>
      <c r="H3" s="148"/>
      <c r="I3" s="148"/>
      <c r="J3" s="148"/>
      <c r="K3" s="350" t="s">
        <v>203</v>
      </c>
      <c r="L3" s="351"/>
      <c r="M3" s="354" t="s">
        <v>216</v>
      </c>
      <c r="N3" s="355"/>
      <c r="O3" s="356"/>
      <c r="P3" s="69"/>
      <c r="Q3" s="198" t="s">
        <v>242</v>
      </c>
    </row>
    <row r="4" spans="1:18" ht="12" customHeight="1" thickBot="1" x14ac:dyDescent="0.3">
      <c r="A4" s="346"/>
      <c r="B4" s="347"/>
      <c r="C4" s="347"/>
      <c r="D4" s="349"/>
      <c r="E4" s="349"/>
      <c r="F4" s="349"/>
      <c r="G4" s="152"/>
      <c r="H4" s="149"/>
      <c r="I4" s="149"/>
      <c r="J4" s="149"/>
      <c r="K4" s="352"/>
      <c r="L4" s="353"/>
      <c r="M4" s="357" t="s">
        <v>237</v>
      </c>
      <c r="N4" s="358"/>
      <c r="O4" s="359"/>
      <c r="P4" s="70"/>
    </row>
    <row r="5" spans="1:18" ht="12" customHeight="1" thickBot="1" x14ac:dyDescent="0.3">
      <c r="A5" s="329" t="s">
        <v>14</v>
      </c>
      <c r="B5" s="330"/>
      <c r="C5" s="330"/>
      <c r="D5" s="331" t="e">
        <f>'Per8'!D5</f>
        <v>#REF!</v>
      </c>
      <c r="E5" s="331"/>
      <c r="F5" s="331"/>
      <c r="G5" s="119"/>
      <c r="H5" s="120"/>
      <c r="I5" s="120"/>
      <c r="J5" s="101"/>
      <c r="K5" s="333" t="s">
        <v>12</v>
      </c>
      <c r="L5" s="334" t="e">
        <f>'Per8'!L7+1</f>
        <v>#REF!</v>
      </c>
      <c r="M5" s="34"/>
      <c r="N5" s="35" t="s">
        <v>8</v>
      </c>
      <c r="O5" s="36" t="s">
        <v>9</v>
      </c>
      <c r="P5" s="71"/>
      <c r="Q5" s="5"/>
      <c r="R5" s="5"/>
    </row>
    <row r="6" spans="1:18" ht="12" customHeight="1" thickTop="1" x14ac:dyDescent="0.25">
      <c r="A6" s="329"/>
      <c r="B6" s="330"/>
      <c r="C6" s="330"/>
      <c r="D6" s="332"/>
      <c r="E6" s="332"/>
      <c r="F6" s="332"/>
      <c r="G6" s="152"/>
      <c r="H6" s="120"/>
      <c r="I6" s="120"/>
      <c r="J6" s="101"/>
      <c r="K6" s="333"/>
      <c r="L6" s="335"/>
      <c r="M6" s="37" t="s">
        <v>2</v>
      </c>
      <c r="N6" s="196" t="e">
        <f>'Period 1'!#REF!</f>
        <v>#REF!</v>
      </c>
      <c r="O6" s="197" t="e">
        <f>'Period 1'!#REF!</f>
        <v>#REF!</v>
      </c>
      <c r="P6" s="72"/>
    </row>
    <row r="7" spans="1:18" ht="12" customHeight="1" x14ac:dyDescent="0.25">
      <c r="A7" s="329" t="s">
        <v>6</v>
      </c>
      <c r="B7" s="330"/>
      <c r="C7" s="330"/>
      <c r="D7" s="338" t="e">
        <f>'Per8'!D7</f>
        <v>#REF!</v>
      </c>
      <c r="E7" s="338"/>
      <c r="F7" s="338"/>
      <c r="G7" s="122"/>
      <c r="H7" s="121"/>
      <c r="I7" s="121"/>
      <c r="J7" s="101"/>
      <c r="K7" s="333" t="s">
        <v>13</v>
      </c>
      <c r="L7" s="341" t="e">
        <f>EDATE(L5,12)-1</f>
        <v>#REF!</v>
      </c>
      <c r="M7" s="38" t="s">
        <v>3</v>
      </c>
      <c r="N7" s="39">
        <f>'Period 1'!$L$7</f>
        <v>0</v>
      </c>
      <c r="O7" s="40">
        <f>'Period 1'!$M$7</f>
        <v>0</v>
      </c>
      <c r="P7" s="72"/>
    </row>
    <row r="8" spans="1:18" ht="12.75" customHeight="1" x14ac:dyDescent="0.25">
      <c r="A8" s="329"/>
      <c r="B8" s="330"/>
      <c r="C8" s="330"/>
      <c r="D8" s="339"/>
      <c r="E8" s="339"/>
      <c r="F8" s="339"/>
      <c r="G8" s="122"/>
      <c r="H8" s="121"/>
      <c r="I8" s="121"/>
      <c r="K8" s="333"/>
      <c r="L8" s="335"/>
      <c r="M8" s="38" t="s">
        <v>4</v>
      </c>
      <c r="N8" s="39">
        <f>'Period 1'!$K$8</f>
        <v>0</v>
      </c>
      <c r="O8" s="40">
        <f>'Period 1'!$M$8</f>
        <v>0</v>
      </c>
      <c r="P8" s="72"/>
    </row>
    <row r="9" spans="1:18" ht="12" customHeight="1" thickBot="1" x14ac:dyDescent="0.3">
      <c r="A9" s="336"/>
      <c r="B9" s="337"/>
      <c r="C9" s="337"/>
      <c r="D9" s="340"/>
      <c r="E9" s="340"/>
      <c r="F9" s="340"/>
      <c r="G9" s="123"/>
      <c r="H9" s="57"/>
      <c r="I9" s="153"/>
      <c r="J9" s="153"/>
      <c r="K9" s="153"/>
      <c r="L9" s="58"/>
      <c r="M9" s="41" t="s">
        <v>5</v>
      </c>
      <c r="N9" s="42">
        <f>'Period 1'!$L$9</f>
        <v>0</v>
      </c>
      <c r="O9" s="43">
        <f>'Period 1'!$M$9</f>
        <v>0</v>
      </c>
      <c r="P9" s="72"/>
    </row>
    <row r="10" spans="1:18" ht="13.5" hidden="1" thickBot="1" x14ac:dyDescent="0.25">
      <c r="B10" s="52"/>
      <c r="C10" s="52"/>
      <c r="D10" s="52"/>
      <c r="E10" s="89" t="s">
        <v>173</v>
      </c>
      <c r="F10" s="90" t="s">
        <v>66</v>
      </c>
      <c r="G10" s="90" t="s">
        <v>67</v>
      </c>
      <c r="H10" s="90" t="s">
        <v>68</v>
      </c>
      <c r="I10" s="90" t="s">
        <v>65</v>
      </c>
      <c r="J10" s="91" t="s">
        <v>71</v>
      </c>
      <c r="K10" s="52"/>
      <c r="L10" s="52"/>
      <c r="M10" s="52"/>
      <c r="N10" s="60" t="s">
        <v>26</v>
      </c>
      <c r="O10" s="61">
        <v>0</v>
      </c>
      <c r="P10" s="66"/>
    </row>
    <row r="11" spans="1:18" hidden="1" x14ac:dyDescent="0.2">
      <c r="B11" s="89" t="s">
        <v>173</v>
      </c>
      <c r="C11" s="91">
        <f>1/900</f>
        <v>1.1111111111111111E-3</v>
      </c>
      <c r="D11" s="191"/>
      <c r="E11" s="96" t="str">
        <f>N10</f>
        <v>Select One</v>
      </c>
      <c r="F11" s="52" t="str">
        <f>N10</f>
        <v>Select One</v>
      </c>
      <c r="G11" s="52" t="str">
        <f>N10</f>
        <v>Select One</v>
      </c>
      <c r="H11" s="52" t="str">
        <f>N10</f>
        <v>Select One</v>
      </c>
      <c r="I11" s="52" t="str">
        <f>N10</f>
        <v>Select One</v>
      </c>
      <c r="J11" s="93" t="str">
        <f>N10</f>
        <v>Select One</v>
      </c>
      <c r="K11" s="89" t="str">
        <f>B11&amp;M6</f>
        <v>FT_BE_09Emp/Family</v>
      </c>
      <c r="L11" s="99" t="e">
        <f>N6</f>
        <v>#REF!</v>
      </c>
      <c r="M11" s="100">
        <v>0.18</v>
      </c>
      <c r="N11" s="91">
        <v>100</v>
      </c>
      <c r="O11" s="52"/>
    </row>
    <row r="12" spans="1:18" hidden="1" x14ac:dyDescent="0.2">
      <c r="B12" s="92" t="s">
        <v>66</v>
      </c>
      <c r="C12" s="93">
        <f>1/1200</f>
        <v>8.3333333333333339E-4</v>
      </c>
      <c r="D12" s="191"/>
      <c r="E12" s="97" t="str">
        <f>M6</f>
        <v>Emp/Family</v>
      </c>
      <c r="F12" s="53" t="str">
        <f>M6</f>
        <v>Emp/Family</v>
      </c>
      <c r="G12" s="53" t="str">
        <f>M6</f>
        <v>Emp/Family</v>
      </c>
      <c r="H12" s="52" t="s">
        <v>69</v>
      </c>
      <c r="I12" s="52"/>
      <c r="J12" s="93" t="s">
        <v>69</v>
      </c>
      <c r="K12" s="92" t="str">
        <f>B11&amp;M7</f>
        <v>FT_BE_09Emp/Child</v>
      </c>
      <c r="L12" s="62">
        <f>N7</f>
        <v>0</v>
      </c>
      <c r="M12" s="63">
        <v>0.18</v>
      </c>
      <c r="N12" s="93">
        <v>100</v>
      </c>
      <c r="O12" s="52"/>
    </row>
    <row r="13" spans="1:18" hidden="1" x14ac:dyDescent="0.2">
      <c r="B13" s="92" t="s">
        <v>67</v>
      </c>
      <c r="C13" s="93">
        <f>1/1200</f>
        <v>8.3333333333333339E-4</v>
      </c>
      <c r="D13" s="191"/>
      <c r="E13" s="97" t="str">
        <f>M7</f>
        <v>Emp/Child</v>
      </c>
      <c r="F13" s="53" t="str">
        <f>M7</f>
        <v>Emp/Child</v>
      </c>
      <c r="G13" s="53" t="str">
        <f>M7</f>
        <v>Emp/Child</v>
      </c>
      <c r="H13" s="52"/>
      <c r="I13" s="52"/>
      <c r="J13" s="93"/>
      <c r="K13" s="92" t="str">
        <f>B11&amp;M8</f>
        <v>FT_BE_09Emp/Spouse</v>
      </c>
      <c r="L13" s="62">
        <f>N8</f>
        <v>0</v>
      </c>
      <c r="M13" s="63">
        <v>0.18</v>
      </c>
      <c r="N13" s="93">
        <v>100</v>
      </c>
      <c r="O13" s="52"/>
    </row>
    <row r="14" spans="1:18" hidden="1" x14ac:dyDescent="0.2">
      <c r="B14" s="92" t="s">
        <v>174</v>
      </c>
      <c r="C14" s="93">
        <f>1/1200</f>
        <v>8.3333333333333339E-4</v>
      </c>
      <c r="D14" s="191"/>
      <c r="E14" s="97" t="str">
        <f>M8</f>
        <v>Emp/Spouse</v>
      </c>
      <c r="F14" s="53" t="str">
        <f>M8</f>
        <v>Emp/Spouse</v>
      </c>
      <c r="G14" s="53" t="str">
        <f>M8</f>
        <v>Emp/Spouse</v>
      </c>
      <c r="H14" s="52"/>
      <c r="I14" s="52"/>
      <c r="J14" s="93"/>
      <c r="K14" s="92" t="str">
        <f>B11&amp;M9</f>
        <v>FT_BE_09Emp Only</v>
      </c>
      <c r="L14" s="62">
        <f>N9</f>
        <v>0</v>
      </c>
      <c r="M14" s="63">
        <v>0.18</v>
      </c>
      <c r="N14" s="93">
        <v>100</v>
      </c>
      <c r="O14" s="52"/>
    </row>
    <row r="15" spans="1:18" hidden="1" x14ac:dyDescent="0.2">
      <c r="B15" s="92" t="s">
        <v>71</v>
      </c>
      <c r="C15" s="93">
        <v>1</v>
      </c>
      <c r="D15" s="191"/>
      <c r="E15" s="97" t="str">
        <f>M9</f>
        <v>Emp Only</v>
      </c>
      <c r="F15" s="53" t="str">
        <f>M9</f>
        <v>Emp Only</v>
      </c>
      <c r="G15" s="53" t="str">
        <f>M9</f>
        <v>Emp Only</v>
      </c>
      <c r="H15" s="52"/>
      <c r="I15" s="52"/>
      <c r="J15" s="93"/>
      <c r="K15" s="92" t="str">
        <f>B12&amp;M6</f>
        <v>FT_BE_12Emp/Family</v>
      </c>
      <c r="L15" s="62" t="e">
        <f>N6</f>
        <v>#REF!</v>
      </c>
      <c r="M15" s="63">
        <v>0.18</v>
      </c>
      <c r="N15" s="93">
        <v>100</v>
      </c>
      <c r="O15" s="52"/>
    </row>
    <row r="16" spans="1:18" ht="13.5" hidden="1" thickBot="1" x14ac:dyDescent="0.25">
      <c r="B16" s="94" t="s">
        <v>65</v>
      </c>
      <c r="C16" s="95">
        <v>0</v>
      </c>
      <c r="D16" s="191"/>
      <c r="E16" s="94" t="s">
        <v>69</v>
      </c>
      <c r="F16" s="190" t="s">
        <v>69</v>
      </c>
      <c r="G16" s="190" t="s">
        <v>69</v>
      </c>
      <c r="H16" s="98"/>
      <c r="I16" s="98"/>
      <c r="J16" s="95"/>
      <c r="K16" s="92" t="str">
        <f>B12&amp;M7</f>
        <v>FT_BE_12Emp/Child</v>
      </c>
      <c r="L16" s="62">
        <f>N7</f>
        <v>0</v>
      </c>
      <c r="M16" s="63">
        <v>0.18</v>
      </c>
      <c r="N16" s="93">
        <v>100</v>
      </c>
      <c r="O16" s="52"/>
    </row>
    <row r="17" spans="2:15" hidden="1" x14ac:dyDescent="0.2">
      <c r="B17" s="52"/>
      <c r="C17" s="52"/>
      <c r="D17" s="52"/>
      <c r="E17" s="52"/>
      <c r="F17" s="52"/>
      <c r="G17" s="52"/>
      <c r="H17" s="52"/>
      <c r="I17" s="52"/>
      <c r="J17" s="52"/>
      <c r="K17" s="92" t="str">
        <f>B12&amp;M8</f>
        <v>FT_BE_12Emp/Spouse</v>
      </c>
      <c r="L17" s="62">
        <f>N8</f>
        <v>0</v>
      </c>
      <c r="M17" s="63">
        <v>0.18</v>
      </c>
      <c r="N17" s="93">
        <v>100</v>
      </c>
      <c r="O17" s="52"/>
    </row>
    <row r="18" spans="2:15" hidden="1" x14ac:dyDescent="0.2">
      <c r="B18" s="52"/>
      <c r="C18" s="52"/>
      <c r="D18" s="52"/>
      <c r="E18" s="52"/>
      <c r="F18" s="52"/>
      <c r="G18" s="52"/>
      <c r="H18" s="52"/>
      <c r="I18" s="52"/>
      <c r="J18" s="52"/>
      <c r="K18" s="92" t="str">
        <f>B12&amp;M9</f>
        <v>FT_BE_12Emp Only</v>
      </c>
      <c r="L18" s="62">
        <f>N9</f>
        <v>0</v>
      </c>
      <c r="M18" s="63">
        <v>0.18</v>
      </c>
      <c r="N18" s="93">
        <v>100</v>
      </c>
      <c r="O18" s="52"/>
    </row>
    <row r="19" spans="2:15" hidden="1" x14ac:dyDescent="0.2">
      <c r="B19" s="52"/>
      <c r="C19" s="52"/>
      <c r="D19" s="52"/>
      <c r="E19" s="52"/>
      <c r="F19" s="52"/>
      <c r="G19" s="52"/>
      <c r="H19" s="52"/>
      <c r="I19" s="52"/>
      <c r="J19" s="52"/>
      <c r="K19" s="92" t="str">
        <f>B13&amp;M6</f>
        <v>PT_BE_12Emp/Family</v>
      </c>
      <c r="L19" s="62" t="e">
        <f>N6</f>
        <v>#REF!</v>
      </c>
      <c r="M19" s="63">
        <v>0.18</v>
      </c>
      <c r="N19" s="93">
        <v>50</v>
      </c>
      <c r="O19" s="52"/>
    </row>
    <row r="20" spans="2:15" hidden="1" x14ac:dyDescent="0.2">
      <c r="B20" s="52"/>
      <c r="C20" s="52"/>
      <c r="D20" s="52"/>
      <c r="E20" s="52"/>
      <c r="F20" s="52"/>
      <c r="G20" s="52"/>
      <c r="H20" s="52"/>
      <c r="I20" s="52"/>
      <c r="J20" s="52"/>
      <c r="K20" s="92" t="str">
        <f>B13&amp;M7</f>
        <v>PT_BE_12Emp/Child</v>
      </c>
      <c r="L20" s="62">
        <f>N7</f>
        <v>0</v>
      </c>
      <c r="M20" s="63">
        <v>0.18</v>
      </c>
      <c r="N20" s="93">
        <v>50</v>
      </c>
      <c r="O20" s="52"/>
    </row>
    <row r="21" spans="2:15" hidden="1" x14ac:dyDescent="0.2">
      <c r="B21" s="52"/>
      <c r="C21" s="52"/>
      <c r="D21" s="52"/>
      <c r="E21" s="52"/>
      <c r="F21" s="52"/>
      <c r="G21" s="52"/>
      <c r="H21" s="52"/>
      <c r="I21" s="52"/>
      <c r="J21" s="52"/>
      <c r="K21" s="92" t="str">
        <f>B13&amp;M8</f>
        <v>PT_BE_12Emp/Spouse</v>
      </c>
      <c r="L21" s="62">
        <f>N8</f>
        <v>0</v>
      </c>
      <c r="M21" s="63">
        <v>0.18</v>
      </c>
      <c r="N21" s="93">
        <v>50</v>
      </c>
      <c r="O21" s="52"/>
    </row>
    <row r="22" spans="2:15" hidden="1" x14ac:dyDescent="0.2">
      <c r="B22" s="52"/>
      <c r="C22" s="52"/>
      <c r="D22" s="52"/>
      <c r="E22" s="52"/>
      <c r="F22" s="52"/>
      <c r="G22" s="52"/>
      <c r="H22" s="52"/>
      <c r="I22" s="52"/>
      <c r="J22" s="52"/>
      <c r="K22" s="92" t="str">
        <f>B13&amp;M9</f>
        <v>PT_BE_12Emp Only</v>
      </c>
      <c r="L22" s="62">
        <f>N9</f>
        <v>0</v>
      </c>
      <c r="M22" s="63">
        <v>0.18</v>
      </c>
      <c r="N22" s="93">
        <v>50</v>
      </c>
      <c r="O22" s="52"/>
    </row>
    <row r="23" spans="2:15" hidden="1" x14ac:dyDescent="0.2">
      <c r="B23" s="52"/>
      <c r="C23" s="52"/>
      <c r="D23" s="52"/>
      <c r="E23" s="52"/>
      <c r="F23" s="52"/>
      <c r="G23" s="52"/>
      <c r="H23" s="52"/>
      <c r="I23" s="52"/>
      <c r="J23" s="52"/>
      <c r="K23" s="92" t="str">
        <f>B14&amp;H12</f>
        <v>PT_NB_12None</v>
      </c>
      <c r="L23" s="52">
        <v>0</v>
      </c>
      <c r="M23" s="63">
        <v>0.08</v>
      </c>
      <c r="N23" s="93">
        <v>0</v>
      </c>
      <c r="O23" s="52"/>
    </row>
    <row r="24" spans="2:15" hidden="1" x14ac:dyDescent="0.2">
      <c r="B24" s="52"/>
      <c r="C24" s="52"/>
      <c r="D24" s="52"/>
      <c r="E24" s="52"/>
      <c r="F24" s="52"/>
      <c r="G24" s="52"/>
      <c r="H24" s="52"/>
      <c r="I24" s="52"/>
      <c r="J24" s="52"/>
      <c r="K24" s="92" t="str">
        <f>B11&amp;N10</f>
        <v>FT_BE_09Select One</v>
      </c>
      <c r="L24" s="52">
        <v>0</v>
      </c>
      <c r="M24" s="63">
        <v>0</v>
      </c>
      <c r="N24" s="93">
        <v>0</v>
      </c>
      <c r="O24" s="52"/>
    </row>
    <row r="25" spans="2:15" hidden="1" x14ac:dyDescent="0.2">
      <c r="B25" s="52"/>
      <c r="C25" s="52"/>
      <c r="D25" s="52"/>
      <c r="E25" s="52"/>
      <c r="F25" s="52"/>
      <c r="G25" s="52"/>
      <c r="H25" s="52"/>
      <c r="I25" s="52"/>
      <c r="J25" s="52"/>
      <c r="K25" s="92" t="str">
        <f>B12&amp;N10</f>
        <v>FT_BE_12Select One</v>
      </c>
      <c r="L25" s="52">
        <v>0</v>
      </c>
      <c r="M25" s="63">
        <v>0</v>
      </c>
      <c r="N25" s="93">
        <v>0</v>
      </c>
      <c r="O25" s="52"/>
    </row>
    <row r="26" spans="2:15" hidden="1" x14ac:dyDescent="0.2">
      <c r="B26" s="52"/>
      <c r="C26" s="52"/>
      <c r="D26" s="52"/>
      <c r="E26" s="52"/>
      <c r="F26" s="52"/>
      <c r="G26" s="52"/>
      <c r="H26" s="52"/>
      <c r="I26" s="52"/>
      <c r="J26" s="52"/>
      <c r="K26" s="92" t="str">
        <f>B13&amp;N10</f>
        <v>PT_BE_12Select One</v>
      </c>
      <c r="L26" s="52">
        <v>0</v>
      </c>
      <c r="M26" s="63">
        <v>0</v>
      </c>
      <c r="N26" s="93">
        <v>0</v>
      </c>
      <c r="O26" s="52"/>
    </row>
    <row r="27" spans="2:15" hidden="1" x14ac:dyDescent="0.2">
      <c r="B27" s="52"/>
      <c r="C27" s="52"/>
      <c r="D27" s="52"/>
      <c r="E27" s="52"/>
      <c r="F27" s="52"/>
      <c r="G27" s="52"/>
      <c r="H27" s="52"/>
      <c r="I27" s="52"/>
      <c r="J27" s="52"/>
      <c r="K27" s="92" t="str">
        <f>B14&amp;N10</f>
        <v>PT_NB_12Select One</v>
      </c>
      <c r="L27" s="52">
        <v>0</v>
      </c>
      <c r="M27" s="63">
        <v>0</v>
      </c>
      <c r="N27" s="93">
        <v>0</v>
      </c>
      <c r="O27" s="52"/>
    </row>
    <row r="28" spans="2:15" hidden="1" x14ac:dyDescent="0.2">
      <c r="B28" s="52"/>
      <c r="C28" s="52"/>
      <c r="D28" s="52"/>
      <c r="E28" s="52"/>
      <c r="F28" s="52"/>
      <c r="G28" s="52"/>
      <c r="H28" s="52"/>
      <c r="I28" s="52"/>
      <c r="J28" s="52"/>
      <c r="K28" s="92" t="str">
        <f>B15&amp;J11</f>
        <v>HourlySelect One</v>
      </c>
      <c r="L28" s="52">
        <v>0</v>
      </c>
      <c r="M28" s="64">
        <v>0</v>
      </c>
      <c r="N28" s="93">
        <v>0</v>
      </c>
      <c r="O28" s="52"/>
    </row>
    <row r="29" spans="2:15" hidden="1" x14ac:dyDescent="0.2">
      <c r="B29" s="52"/>
      <c r="C29" s="52"/>
      <c r="D29" s="52"/>
      <c r="E29" s="52"/>
      <c r="F29" s="52"/>
      <c r="G29" s="52"/>
      <c r="H29" s="52"/>
      <c r="I29" s="52"/>
      <c r="J29" s="52"/>
      <c r="K29" s="92" t="str">
        <f>B15&amp;J12</f>
        <v>HourlyNone</v>
      </c>
      <c r="L29" s="52">
        <v>0</v>
      </c>
      <c r="M29" s="64">
        <v>0.08</v>
      </c>
      <c r="N29" s="93">
        <v>0</v>
      </c>
      <c r="O29" s="52"/>
    </row>
    <row r="30" spans="2:15" hidden="1" x14ac:dyDescent="0.2">
      <c r="B30" s="52"/>
      <c r="C30" s="52"/>
      <c r="D30" s="52"/>
      <c r="E30" s="52"/>
      <c r="F30" s="52"/>
      <c r="G30" s="52"/>
      <c r="H30" s="52"/>
      <c r="I30" s="52"/>
      <c r="J30" s="52"/>
      <c r="K30" s="92" t="str">
        <f>B11&amp;E16</f>
        <v>FT_BE_09None</v>
      </c>
      <c r="L30" s="52">
        <v>0</v>
      </c>
      <c r="M30" s="64">
        <v>0.18</v>
      </c>
      <c r="N30" s="93">
        <v>100</v>
      </c>
      <c r="O30" s="52"/>
    </row>
    <row r="31" spans="2:15" hidden="1" x14ac:dyDescent="0.2">
      <c r="B31" s="52"/>
      <c r="C31" s="52"/>
      <c r="D31" s="52"/>
      <c r="E31" s="52"/>
      <c r="F31" s="52"/>
      <c r="G31" s="52"/>
      <c r="H31" s="52"/>
      <c r="I31" s="52"/>
      <c r="J31" s="52"/>
      <c r="K31" s="92" t="str">
        <f>B12&amp;F16</f>
        <v>FT_BE_12None</v>
      </c>
      <c r="L31" s="52">
        <v>0</v>
      </c>
      <c r="M31" s="64">
        <v>0.18</v>
      </c>
      <c r="N31" s="93">
        <v>100</v>
      </c>
      <c r="O31" s="52"/>
    </row>
    <row r="32" spans="2:15" hidden="1" x14ac:dyDescent="0.2">
      <c r="B32" s="52"/>
      <c r="C32" s="52"/>
      <c r="D32" s="52"/>
      <c r="E32" s="52"/>
      <c r="F32" s="52"/>
      <c r="G32" s="52"/>
      <c r="H32" s="52"/>
      <c r="I32" s="52"/>
      <c r="J32" s="52"/>
      <c r="K32" s="92" t="str">
        <f>B13&amp;G16</f>
        <v>PT_BE_12None</v>
      </c>
      <c r="L32" s="52">
        <v>0</v>
      </c>
      <c r="M32" s="64">
        <v>0.18</v>
      </c>
      <c r="N32" s="93">
        <v>100</v>
      </c>
      <c r="O32" s="52"/>
    </row>
    <row r="33" spans="1:19" ht="13.5" hidden="1" thickBot="1" x14ac:dyDescent="0.25">
      <c r="B33" s="52"/>
      <c r="C33" s="52"/>
      <c r="D33" s="52"/>
      <c r="E33" s="52"/>
      <c r="F33" s="52"/>
      <c r="G33" s="52"/>
      <c r="H33" s="52"/>
      <c r="I33" s="52"/>
      <c r="J33" s="52"/>
      <c r="K33" s="94" t="str">
        <f>B16&amp;Select</f>
        <v>SelectSelect One</v>
      </c>
      <c r="L33" s="98">
        <v>0</v>
      </c>
      <c r="M33" s="98">
        <v>0</v>
      </c>
      <c r="N33" s="95">
        <v>0</v>
      </c>
      <c r="O33" s="52"/>
    </row>
    <row r="34" spans="1:19" ht="18" customHeight="1" thickBot="1" x14ac:dyDescent="0.25">
      <c r="A34" s="360"/>
      <c r="B34" s="360"/>
      <c r="C34" s="360"/>
      <c r="D34" s="360"/>
      <c r="E34" s="360"/>
      <c r="F34" s="360"/>
      <c r="G34" s="360"/>
      <c r="H34" s="360"/>
      <c r="I34" s="360"/>
      <c r="J34" s="360"/>
      <c r="K34" s="360"/>
      <c r="L34" s="360"/>
      <c r="M34" s="360"/>
      <c r="N34" s="360"/>
      <c r="O34" s="360"/>
    </row>
    <row r="35" spans="1:19" ht="13.5" customHeight="1" x14ac:dyDescent="0.2">
      <c r="A35" s="361" t="s">
        <v>38</v>
      </c>
      <c r="B35" s="409" t="s">
        <v>208</v>
      </c>
      <c r="C35" s="383"/>
      <c r="D35" s="383"/>
      <c r="E35" s="383"/>
      <c r="F35" s="383"/>
      <c r="G35" s="383"/>
      <c r="H35" s="383"/>
      <c r="I35" s="383"/>
      <c r="J35" s="383"/>
      <c r="K35" s="410" t="s">
        <v>70</v>
      </c>
      <c r="L35" s="411"/>
      <c r="M35" s="193" t="e">
        <f>SUM(M37:M63)</f>
        <v>#REF!</v>
      </c>
      <c r="N35" s="193" t="e">
        <f>SUM(N37:N63)</f>
        <v>#REF!</v>
      </c>
      <c r="O35" s="20" t="e">
        <f>SUM(O37:O63)</f>
        <v>#REF!</v>
      </c>
    </row>
    <row r="36" spans="1:19" ht="39" customHeight="1" x14ac:dyDescent="0.2">
      <c r="A36" s="362"/>
      <c r="B36" s="364" t="s">
        <v>60</v>
      </c>
      <c r="C36" s="364"/>
      <c r="D36" s="85" t="s">
        <v>1</v>
      </c>
      <c r="E36" s="85" t="s">
        <v>74</v>
      </c>
      <c r="F36" s="86" t="s">
        <v>15</v>
      </c>
      <c r="G36" s="365" t="s">
        <v>73</v>
      </c>
      <c r="H36" s="366"/>
      <c r="I36" s="85" t="s">
        <v>189</v>
      </c>
      <c r="J36" s="85" t="s">
        <v>72</v>
      </c>
      <c r="K36" s="87" t="s">
        <v>198</v>
      </c>
      <c r="L36" s="85" t="s">
        <v>7</v>
      </c>
      <c r="M36" s="85" t="s">
        <v>77</v>
      </c>
      <c r="N36" s="85" t="s">
        <v>31</v>
      </c>
      <c r="O36" s="88" t="s">
        <v>209</v>
      </c>
      <c r="P36" s="82"/>
      <c r="S36" s="7"/>
    </row>
    <row r="37" spans="1:19" ht="13.5" customHeight="1" x14ac:dyDescent="0.2">
      <c r="A37" s="362"/>
      <c r="B37" s="367" t="e">
        <f>IF('Per8'!B37&lt;&gt;"",'Per8'!B37,"")</f>
        <v>#REF!</v>
      </c>
      <c r="C37" s="367"/>
      <c r="D37" s="129" t="e">
        <f>IF('Per8'!D37&lt;&gt;"",'Per8'!D37,"")</f>
        <v>#REF!</v>
      </c>
      <c r="E37" s="124" t="e">
        <f>'Per8'!E37</f>
        <v>#REF!</v>
      </c>
      <c r="F37" s="54" t="e">
        <f>'Per8'!F37</f>
        <v>#REF!</v>
      </c>
      <c r="G37" s="368" t="e">
        <f>IF(E37="Hourly",ROUND('Per8'!G37*1.03,2),ROUND('Per8'!G37*1.03,0))</f>
        <v>#REF!</v>
      </c>
      <c r="H37" s="369"/>
      <c r="I37" s="8"/>
      <c r="J37" s="59"/>
      <c r="K37" s="9" t="e">
        <f>IF(E37="Hourly",I37*J37/173.33,I37*J37/100)</f>
        <v>#REF!</v>
      </c>
      <c r="L37" s="10" t="e">
        <f t="shared" ref="L37:L63" si="0">IF(M37&lt;&gt;0,SUM(N37/M37),"-")</f>
        <v>#REF!</v>
      </c>
      <c r="M37" s="45" t="e">
        <f t="shared" ref="M37:M63" si="1">ROUND((G37*I37*J37*VLOOKUP(E37,$B$11:$C$16,2,FALSE)),0)</f>
        <v>#REF!</v>
      </c>
      <c r="N37" s="45" t="e">
        <f t="shared" ref="N37:N63" si="2">ROUND(M37*VLOOKUP(E37&amp;F37,$K$11:$N$33,3,FALSE)+VLOOKUP(E37&amp;F37,$K$11:$N$33,2,FALSE)*MIN(J37,VLOOKUP(E37&amp;F37,$K$11:$N$33,4,FALSE))*I37/100,0)</f>
        <v>#REF!</v>
      </c>
      <c r="O37" s="46" t="e">
        <f t="shared" ref="O37:O63" si="3">M37+N37</f>
        <v>#REF!</v>
      </c>
      <c r="P37" s="73"/>
      <c r="Q37" s="17" t="s">
        <v>75</v>
      </c>
      <c r="S37" s="5"/>
    </row>
    <row r="38" spans="1:19" ht="13.5" customHeight="1" x14ac:dyDescent="0.2">
      <c r="A38" s="362"/>
      <c r="B38" s="367" t="e">
        <f>IF('Per8'!B38&lt;&gt;"",'Per8'!B38,"")</f>
        <v>#REF!</v>
      </c>
      <c r="C38" s="367"/>
      <c r="D38" s="129" t="e">
        <f>IF('Per8'!D38&lt;&gt;"",'Per8'!D38,"")</f>
        <v>#REF!</v>
      </c>
      <c r="E38" s="124" t="e">
        <f>'Per8'!E38</f>
        <v>#REF!</v>
      </c>
      <c r="F38" s="54" t="e">
        <f>'Per8'!F38</f>
        <v>#REF!</v>
      </c>
      <c r="G38" s="368" t="e">
        <f>IF(E38="Hourly",ROUND('Per8'!G38*1.03,2),ROUND('Per8'!G38*1.03,0))</f>
        <v>#REF!</v>
      </c>
      <c r="H38" s="369"/>
      <c r="I38" s="8"/>
      <c r="J38" s="59"/>
      <c r="K38" s="9" t="e">
        <f t="shared" ref="K38:K63" si="4">IF(E38="Hourly",I38*J38/173.33,I38*J38/100)</f>
        <v>#REF!</v>
      </c>
      <c r="L38" s="10" t="e">
        <f t="shared" si="0"/>
        <v>#REF!</v>
      </c>
      <c r="M38" s="45" t="e">
        <f t="shared" si="1"/>
        <v>#REF!</v>
      </c>
      <c r="N38" s="45" t="e">
        <f t="shared" si="2"/>
        <v>#REF!</v>
      </c>
      <c r="O38" s="11" t="e">
        <f t="shared" si="3"/>
        <v>#REF!</v>
      </c>
      <c r="P38" s="74"/>
      <c r="Q38" s="17" t="s">
        <v>194</v>
      </c>
      <c r="S38" s="5"/>
    </row>
    <row r="39" spans="1:19" ht="13.5" customHeight="1" x14ac:dyDescent="0.2">
      <c r="A39" s="362"/>
      <c r="B39" s="367" t="e">
        <f>IF('Per8'!B39&lt;&gt;"",'Per8'!B39,"")</f>
        <v>#REF!</v>
      </c>
      <c r="C39" s="367"/>
      <c r="D39" s="129" t="e">
        <f>IF('Per8'!D39&lt;&gt;"",'Per8'!D39,"")</f>
        <v>#REF!</v>
      </c>
      <c r="E39" s="124" t="e">
        <f>'Per8'!E39</f>
        <v>#REF!</v>
      </c>
      <c r="F39" s="54" t="e">
        <f>'Per8'!F39</f>
        <v>#REF!</v>
      </c>
      <c r="G39" s="368" t="e">
        <f>IF(E39="Hourly",ROUND('Per8'!G39*1.03,2),ROUND('Per8'!G39*1.03,0))</f>
        <v>#REF!</v>
      </c>
      <c r="H39" s="369"/>
      <c r="I39" s="8"/>
      <c r="J39" s="59"/>
      <c r="K39" s="9" t="e">
        <f t="shared" si="4"/>
        <v>#REF!</v>
      </c>
      <c r="L39" s="10" t="e">
        <f t="shared" si="0"/>
        <v>#REF!</v>
      </c>
      <c r="M39" s="45" t="e">
        <f t="shared" si="1"/>
        <v>#REF!</v>
      </c>
      <c r="N39" s="45" t="e">
        <f t="shared" si="2"/>
        <v>#REF!</v>
      </c>
      <c r="O39" s="11" t="e">
        <f t="shared" si="3"/>
        <v>#REF!</v>
      </c>
      <c r="P39" s="74"/>
      <c r="Q39" s="17" t="s">
        <v>195</v>
      </c>
      <c r="S39" s="5"/>
    </row>
    <row r="40" spans="1:19" ht="13.5" customHeight="1" x14ac:dyDescent="0.2">
      <c r="A40" s="362"/>
      <c r="B40" s="367" t="e">
        <f>IF('Per8'!B40&lt;&gt;"",'Per8'!B40,"")</f>
        <v>#REF!</v>
      </c>
      <c r="C40" s="367"/>
      <c r="D40" s="129" t="e">
        <f>IF('Per8'!D40&lt;&gt;"",'Per8'!D40,"")</f>
        <v>#REF!</v>
      </c>
      <c r="E40" s="124" t="e">
        <f>'Per8'!E40</f>
        <v>#REF!</v>
      </c>
      <c r="F40" s="54" t="e">
        <f>'Per8'!F40</f>
        <v>#REF!</v>
      </c>
      <c r="G40" s="368" t="e">
        <f>IF(E40="Hourly",ROUND('Per8'!G40*1.03,2),ROUND('Per8'!G40*1.03,0))</f>
        <v>#REF!</v>
      </c>
      <c r="H40" s="369"/>
      <c r="I40" s="8"/>
      <c r="J40" s="59"/>
      <c r="K40" s="9" t="e">
        <f t="shared" si="4"/>
        <v>#REF!</v>
      </c>
      <c r="L40" s="10" t="e">
        <f t="shared" si="0"/>
        <v>#REF!</v>
      </c>
      <c r="M40" s="45" t="e">
        <f t="shared" si="1"/>
        <v>#REF!</v>
      </c>
      <c r="N40" s="45" t="e">
        <f t="shared" si="2"/>
        <v>#REF!</v>
      </c>
      <c r="O40" s="11" t="e">
        <f t="shared" si="3"/>
        <v>#REF!</v>
      </c>
      <c r="P40" s="74"/>
      <c r="Q40" s="17" t="s">
        <v>196</v>
      </c>
      <c r="S40" s="5"/>
    </row>
    <row r="41" spans="1:19" ht="13.5" customHeight="1" x14ac:dyDescent="0.2">
      <c r="A41" s="362"/>
      <c r="B41" s="367" t="e">
        <f>IF('Per8'!B41&lt;&gt;"",'Per8'!B41,"")</f>
        <v>#REF!</v>
      </c>
      <c r="C41" s="367"/>
      <c r="D41" s="129" t="e">
        <f>IF('Per8'!D41&lt;&gt;"",'Per8'!D41,"")</f>
        <v>#REF!</v>
      </c>
      <c r="E41" s="124" t="e">
        <f>'Per8'!E41</f>
        <v>#REF!</v>
      </c>
      <c r="F41" s="54" t="e">
        <f>'Per8'!F41</f>
        <v>#REF!</v>
      </c>
      <c r="G41" s="368" t="e">
        <f>IF(E41="Hourly",ROUND('Per8'!G41*1.03,2),ROUND('Per8'!G41*1.03,0))</f>
        <v>#REF!</v>
      </c>
      <c r="H41" s="369"/>
      <c r="I41" s="8"/>
      <c r="J41" s="59"/>
      <c r="K41" s="9" t="e">
        <f t="shared" si="4"/>
        <v>#REF!</v>
      </c>
      <c r="L41" s="10" t="e">
        <f t="shared" si="0"/>
        <v>#REF!</v>
      </c>
      <c r="M41" s="45" t="e">
        <f t="shared" si="1"/>
        <v>#REF!</v>
      </c>
      <c r="N41" s="45" t="e">
        <f t="shared" si="2"/>
        <v>#REF!</v>
      </c>
      <c r="O41" s="11" t="e">
        <f t="shared" si="3"/>
        <v>#REF!</v>
      </c>
      <c r="P41" s="74"/>
      <c r="Q41" s="17" t="s">
        <v>192</v>
      </c>
      <c r="S41" s="5"/>
    </row>
    <row r="42" spans="1:19" ht="13.5" customHeight="1" x14ac:dyDescent="0.2">
      <c r="A42" s="362"/>
      <c r="B42" s="367" t="e">
        <f>IF('Per8'!B42&lt;&gt;"",'Per8'!B42,"")</f>
        <v>#REF!</v>
      </c>
      <c r="C42" s="367"/>
      <c r="D42" s="129" t="e">
        <f>IF('Per8'!D42&lt;&gt;"",'Per8'!D42,"")</f>
        <v>#REF!</v>
      </c>
      <c r="E42" s="124" t="e">
        <f>'Per8'!E42</f>
        <v>#REF!</v>
      </c>
      <c r="F42" s="54" t="e">
        <f>'Per8'!F42</f>
        <v>#REF!</v>
      </c>
      <c r="G42" s="368" t="e">
        <f>IF(E42="Hourly",ROUND('Per8'!G42*1.03,2),ROUND('Per8'!G42*1.03,0))</f>
        <v>#REF!</v>
      </c>
      <c r="H42" s="369"/>
      <c r="I42" s="8"/>
      <c r="J42" s="59"/>
      <c r="K42" s="9" t="e">
        <f t="shared" si="4"/>
        <v>#REF!</v>
      </c>
      <c r="L42" s="10" t="e">
        <f t="shared" si="0"/>
        <v>#REF!</v>
      </c>
      <c r="M42" s="45" t="e">
        <f t="shared" si="1"/>
        <v>#REF!</v>
      </c>
      <c r="N42" s="45" t="e">
        <f t="shared" si="2"/>
        <v>#REF!</v>
      </c>
      <c r="O42" s="11" t="e">
        <f t="shared" si="3"/>
        <v>#REF!</v>
      </c>
      <c r="P42" s="74"/>
      <c r="Q42" s="17" t="s">
        <v>193</v>
      </c>
      <c r="S42" s="3"/>
    </row>
    <row r="43" spans="1:19" ht="13.5" customHeight="1" x14ac:dyDescent="0.2">
      <c r="A43" s="362"/>
      <c r="B43" s="367" t="e">
        <f>IF('Per8'!B43&lt;&gt;"",'Per8'!B43,"")</f>
        <v>#REF!</v>
      </c>
      <c r="C43" s="367"/>
      <c r="D43" s="129" t="e">
        <f>IF('Per8'!D43&lt;&gt;"",'Per8'!D43,"")</f>
        <v>#REF!</v>
      </c>
      <c r="E43" s="124" t="e">
        <f>'Per8'!E43</f>
        <v>#REF!</v>
      </c>
      <c r="F43" s="54" t="e">
        <f>'Per8'!F43</f>
        <v>#REF!</v>
      </c>
      <c r="G43" s="368" t="e">
        <f>IF(E43="Hourly",ROUND('Per8'!G43*1.03,2),ROUND('Per8'!G43*1.03,0))</f>
        <v>#REF!</v>
      </c>
      <c r="H43" s="369"/>
      <c r="I43" s="8"/>
      <c r="J43" s="59"/>
      <c r="K43" s="9" t="e">
        <f t="shared" si="4"/>
        <v>#REF!</v>
      </c>
      <c r="L43" s="10" t="e">
        <f t="shared" si="0"/>
        <v>#REF!</v>
      </c>
      <c r="M43" s="45" t="e">
        <f t="shared" si="1"/>
        <v>#REF!</v>
      </c>
      <c r="N43" s="45" t="e">
        <f t="shared" si="2"/>
        <v>#REF!</v>
      </c>
      <c r="O43" s="11" t="e">
        <f t="shared" si="3"/>
        <v>#REF!</v>
      </c>
      <c r="P43" s="74"/>
      <c r="Q43" s="17"/>
      <c r="S43" s="3"/>
    </row>
    <row r="44" spans="1:19" ht="13.5" customHeight="1" x14ac:dyDescent="0.2">
      <c r="A44" s="362"/>
      <c r="B44" s="367" t="e">
        <f>IF('Per8'!B44&lt;&gt;"",'Per8'!B44,"")</f>
        <v>#REF!</v>
      </c>
      <c r="C44" s="367"/>
      <c r="D44" s="129" t="e">
        <f>IF('Per8'!D44&lt;&gt;"",'Per8'!D44,"")</f>
        <v>#REF!</v>
      </c>
      <c r="E44" s="124" t="e">
        <f>'Per8'!E44</f>
        <v>#REF!</v>
      </c>
      <c r="F44" s="54" t="e">
        <f>'Per8'!F44</f>
        <v>#REF!</v>
      </c>
      <c r="G44" s="368" t="e">
        <f>IF(E44="Hourly",ROUND('Per8'!G44*1.03,2),ROUND('Per8'!G44*1.03,0))</f>
        <v>#REF!</v>
      </c>
      <c r="H44" s="369"/>
      <c r="I44" s="8"/>
      <c r="J44" s="59"/>
      <c r="K44" s="9" t="e">
        <f t="shared" si="4"/>
        <v>#REF!</v>
      </c>
      <c r="L44" s="10" t="e">
        <f t="shared" si="0"/>
        <v>#REF!</v>
      </c>
      <c r="M44" s="45" t="e">
        <f t="shared" si="1"/>
        <v>#REF!</v>
      </c>
      <c r="N44" s="45" t="e">
        <f t="shared" si="2"/>
        <v>#REF!</v>
      </c>
      <c r="O44" s="11" t="e">
        <f t="shared" si="3"/>
        <v>#REF!</v>
      </c>
      <c r="P44" s="74"/>
      <c r="Q44" s="17"/>
      <c r="S44" s="3"/>
    </row>
    <row r="45" spans="1:19" ht="13.5" customHeight="1" x14ac:dyDescent="0.2">
      <c r="A45" s="362"/>
      <c r="B45" s="367" t="e">
        <f>IF('Per8'!B45&lt;&gt;"",'Per8'!B45,"")</f>
        <v>#REF!</v>
      </c>
      <c r="C45" s="367"/>
      <c r="D45" s="129" t="e">
        <f>IF('Per8'!D45&lt;&gt;"",'Per8'!D45,"")</f>
        <v>#REF!</v>
      </c>
      <c r="E45" s="124" t="e">
        <f>'Per8'!E45</f>
        <v>#REF!</v>
      </c>
      <c r="F45" s="54" t="e">
        <f>'Per8'!F45</f>
        <v>#REF!</v>
      </c>
      <c r="G45" s="368" t="e">
        <f>IF(E45="Hourly",ROUND('Per8'!G45*1.03,2),ROUND('Per8'!G45*1.03,0))</f>
        <v>#REF!</v>
      </c>
      <c r="H45" s="369"/>
      <c r="I45" s="8"/>
      <c r="J45" s="59"/>
      <c r="K45" s="9" t="e">
        <f t="shared" si="4"/>
        <v>#REF!</v>
      </c>
      <c r="L45" s="10" t="e">
        <f t="shared" si="0"/>
        <v>#REF!</v>
      </c>
      <c r="M45" s="45" t="e">
        <f t="shared" si="1"/>
        <v>#REF!</v>
      </c>
      <c r="N45" s="45" t="e">
        <f t="shared" si="2"/>
        <v>#REF!</v>
      </c>
      <c r="O45" s="11" t="e">
        <f t="shared" si="3"/>
        <v>#REF!</v>
      </c>
      <c r="P45" s="74"/>
      <c r="Q45" s="17"/>
      <c r="S45" s="3"/>
    </row>
    <row r="46" spans="1:19" ht="13.5" customHeight="1" x14ac:dyDescent="0.2">
      <c r="A46" s="362"/>
      <c r="B46" s="367" t="e">
        <f>IF('Per8'!B46&lt;&gt;"",'Per8'!B46,"")</f>
        <v>#REF!</v>
      </c>
      <c r="C46" s="367"/>
      <c r="D46" s="129" t="e">
        <f>IF('Per8'!D46&lt;&gt;"",'Per8'!D46,"")</f>
        <v>#REF!</v>
      </c>
      <c r="E46" s="124" t="e">
        <f>'Per8'!E46</f>
        <v>#REF!</v>
      </c>
      <c r="F46" s="54" t="e">
        <f>'Per8'!F46</f>
        <v>#REF!</v>
      </c>
      <c r="G46" s="368" t="e">
        <f>IF(E46="Hourly",ROUND('Per8'!G46*1.03,2),ROUND('Per8'!G46*1.03,0))</f>
        <v>#REF!</v>
      </c>
      <c r="H46" s="369"/>
      <c r="I46" s="8"/>
      <c r="J46" s="59"/>
      <c r="K46" s="9" t="e">
        <f t="shared" si="4"/>
        <v>#REF!</v>
      </c>
      <c r="L46" s="10" t="e">
        <f t="shared" si="0"/>
        <v>#REF!</v>
      </c>
      <c r="M46" s="45" t="e">
        <f t="shared" si="1"/>
        <v>#REF!</v>
      </c>
      <c r="N46" s="45" t="e">
        <f t="shared" si="2"/>
        <v>#REF!</v>
      </c>
      <c r="O46" s="11" t="e">
        <f t="shared" si="3"/>
        <v>#REF!</v>
      </c>
      <c r="P46" s="74"/>
      <c r="Q46" s="17"/>
      <c r="S46" s="3"/>
    </row>
    <row r="47" spans="1:19" ht="13.5" customHeight="1" thickBot="1" x14ac:dyDescent="0.25">
      <c r="A47" s="362"/>
      <c r="B47" s="367" t="e">
        <f>IF('Per8'!B47&lt;&gt;"",'Per8'!B47,"")</f>
        <v>#REF!</v>
      </c>
      <c r="C47" s="367"/>
      <c r="D47" s="129" t="e">
        <f>IF('Per8'!D47&lt;&gt;"",'Per8'!D47,"")</f>
        <v>#REF!</v>
      </c>
      <c r="E47" s="124" t="e">
        <f>'Per8'!E47</f>
        <v>#REF!</v>
      </c>
      <c r="F47" s="54" t="e">
        <f>'Per8'!F47</f>
        <v>#REF!</v>
      </c>
      <c r="G47" s="368" t="e">
        <f>IF(E47="Hourly",ROUND('Per8'!G47*1.03,2),ROUND('Per8'!G47*1.03,0))</f>
        <v>#REF!</v>
      </c>
      <c r="H47" s="369"/>
      <c r="I47" s="8"/>
      <c r="J47" s="59"/>
      <c r="K47" s="9" t="e">
        <f t="shared" si="4"/>
        <v>#REF!</v>
      </c>
      <c r="L47" s="10" t="e">
        <f t="shared" si="0"/>
        <v>#REF!</v>
      </c>
      <c r="M47" s="45" t="e">
        <f t="shared" si="1"/>
        <v>#REF!</v>
      </c>
      <c r="N47" s="45" t="e">
        <f t="shared" si="2"/>
        <v>#REF!</v>
      </c>
      <c r="O47" s="11" t="e">
        <f t="shared" si="3"/>
        <v>#REF!</v>
      </c>
      <c r="P47" s="74"/>
      <c r="Q47" s="17" t="s">
        <v>205</v>
      </c>
      <c r="S47" s="3"/>
    </row>
    <row r="48" spans="1:19" ht="13.5" hidden="1" customHeight="1" x14ac:dyDescent="0.2">
      <c r="A48" s="362"/>
      <c r="B48" s="367" t="e">
        <f>IF('Per8'!B48&lt;&gt;"",'Per8'!B48,"")</f>
        <v>#REF!</v>
      </c>
      <c r="C48" s="367"/>
      <c r="D48" s="129" t="e">
        <f>IF('Per8'!D48&lt;&gt;"",'Per8'!D48,"")</f>
        <v>#REF!</v>
      </c>
      <c r="E48" s="124" t="e">
        <f>'Per8'!E48</f>
        <v>#REF!</v>
      </c>
      <c r="F48" s="54" t="e">
        <f>'Per8'!F48</f>
        <v>#REF!</v>
      </c>
      <c r="G48" s="368" t="e">
        <f>IF(E48="Hourly",ROUND('Per8'!G48*1.03,2),ROUND('Per8'!G48*1.03,0))</f>
        <v>#REF!</v>
      </c>
      <c r="H48" s="369"/>
      <c r="I48" s="8"/>
      <c r="J48" s="59"/>
      <c r="K48" s="9" t="e">
        <f t="shared" si="4"/>
        <v>#REF!</v>
      </c>
      <c r="L48" s="10" t="e">
        <f t="shared" si="0"/>
        <v>#REF!</v>
      </c>
      <c r="M48" s="45" t="e">
        <f t="shared" si="1"/>
        <v>#REF!</v>
      </c>
      <c r="N48" s="45" t="e">
        <f t="shared" si="2"/>
        <v>#REF!</v>
      </c>
      <c r="O48" s="11" t="e">
        <f t="shared" si="3"/>
        <v>#REF!</v>
      </c>
      <c r="P48" s="74"/>
      <c r="Q48" s="17"/>
      <c r="S48" s="3"/>
    </row>
    <row r="49" spans="1:19" ht="13.5" hidden="1" customHeight="1" x14ac:dyDescent="0.2">
      <c r="A49" s="362"/>
      <c r="B49" s="367" t="e">
        <f>IF('Per8'!B49&lt;&gt;"",'Per8'!B49,"")</f>
        <v>#REF!</v>
      </c>
      <c r="C49" s="367"/>
      <c r="D49" s="129" t="e">
        <f>IF('Per8'!D49&lt;&gt;"",'Per8'!D49,"")</f>
        <v>#REF!</v>
      </c>
      <c r="E49" s="124" t="e">
        <f>'Per8'!E49</f>
        <v>#REF!</v>
      </c>
      <c r="F49" s="54" t="e">
        <f>'Per8'!F49</f>
        <v>#REF!</v>
      </c>
      <c r="G49" s="368" t="e">
        <f>IF(E49="Hourly",ROUND('Per8'!G49*1.03,2),ROUND('Per8'!G49*1.03,0))</f>
        <v>#REF!</v>
      </c>
      <c r="H49" s="369"/>
      <c r="I49" s="8"/>
      <c r="J49" s="59"/>
      <c r="K49" s="9" t="e">
        <f t="shared" si="4"/>
        <v>#REF!</v>
      </c>
      <c r="L49" s="10" t="e">
        <f t="shared" si="0"/>
        <v>#REF!</v>
      </c>
      <c r="M49" s="45" t="e">
        <f t="shared" si="1"/>
        <v>#REF!</v>
      </c>
      <c r="N49" s="45" t="e">
        <f t="shared" si="2"/>
        <v>#REF!</v>
      </c>
      <c r="O49" s="11" t="e">
        <f t="shared" si="3"/>
        <v>#REF!</v>
      </c>
      <c r="P49" s="74"/>
      <c r="Q49" s="17"/>
      <c r="S49" s="3"/>
    </row>
    <row r="50" spans="1:19" ht="13.5" hidden="1" customHeight="1" x14ac:dyDescent="0.2">
      <c r="A50" s="362"/>
      <c r="B50" s="367" t="e">
        <f>IF('Per8'!B50&lt;&gt;"",'Per8'!B50,"")</f>
        <v>#REF!</v>
      </c>
      <c r="C50" s="367"/>
      <c r="D50" s="129" t="e">
        <f>IF('Per8'!D50&lt;&gt;"",'Per8'!D50,"")</f>
        <v>#REF!</v>
      </c>
      <c r="E50" s="124" t="e">
        <f>'Per8'!E50</f>
        <v>#REF!</v>
      </c>
      <c r="F50" s="54" t="e">
        <f>'Per8'!F50</f>
        <v>#REF!</v>
      </c>
      <c r="G50" s="368" t="e">
        <f>IF(E50="Hourly",ROUND('Per8'!G50*1.03,2),ROUND('Per8'!G50*1.03,0))</f>
        <v>#REF!</v>
      </c>
      <c r="H50" s="369"/>
      <c r="I50" s="8"/>
      <c r="J50" s="59"/>
      <c r="K50" s="9" t="e">
        <f t="shared" si="4"/>
        <v>#REF!</v>
      </c>
      <c r="L50" s="10" t="e">
        <f t="shared" si="0"/>
        <v>#REF!</v>
      </c>
      <c r="M50" s="45" t="e">
        <f t="shared" si="1"/>
        <v>#REF!</v>
      </c>
      <c r="N50" s="45" t="e">
        <f t="shared" si="2"/>
        <v>#REF!</v>
      </c>
      <c r="O50" s="11" t="e">
        <f t="shared" si="3"/>
        <v>#REF!</v>
      </c>
      <c r="P50" s="74"/>
      <c r="Q50" s="17"/>
      <c r="S50" s="3"/>
    </row>
    <row r="51" spans="1:19" ht="13.5" hidden="1" customHeight="1" x14ac:dyDescent="0.2">
      <c r="A51" s="362"/>
      <c r="B51" s="367" t="e">
        <f>IF('Per8'!B51&lt;&gt;"",'Per8'!B51,"")</f>
        <v>#REF!</v>
      </c>
      <c r="C51" s="367"/>
      <c r="D51" s="129" t="e">
        <f>IF('Per8'!D51&lt;&gt;"",'Per8'!D51,"")</f>
        <v>#REF!</v>
      </c>
      <c r="E51" s="124" t="e">
        <f>'Per8'!E51</f>
        <v>#REF!</v>
      </c>
      <c r="F51" s="54" t="e">
        <f>'Per8'!F51</f>
        <v>#REF!</v>
      </c>
      <c r="G51" s="368" t="e">
        <f>IF(E51="Hourly",ROUND('Per8'!G51*1.03,2),ROUND('Per8'!G51*1.03,0))</f>
        <v>#REF!</v>
      </c>
      <c r="H51" s="369"/>
      <c r="I51" s="8"/>
      <c r="J51" s="59"/>
      <c r="K51" s="9" t="e">
        <f t="shared" si="4"/>
        <v>#REF!</v>
      </c>
      <c r="L51" s="10" t="e">
        <f t="shared" si="0"/>
        <v>#REF!</v>
      </c>
      <c r="M51" s="45" t="e">
        <f t="shared" si="1"/>
        <v>#REF!</v>
      </c>
      <c r="N51" s="45" t="e">
        <f t="shared" si="2"/>
        <v>#REF!</v>
      </c>
      <c r="O51" s="11" t="e">
        <f t="shared" si="3"/>
        <v>#REF!</v>
      </c>
      <c r="P51" s="74"/>
      <c r="Q51" s="17"/>
      <c r="S51" s="3"/>
    </row>
    <row r="52" spans="1:19" ht="13.5" hidden="1" customHeight="1" x14ac:dyDescent="0.2">
      <c r="A52" s="362"/>
      <c r="B52" s="367" t="e">
        <f>IF('Per8'!B52&lt;&gt;"",'Per8'!B52,"")</f>
        <v>#REF!</v>
      </c>
      <c r="C52" s="367"/>
      <c r="D52" s="129" t="e">
        <f>IF('Per8'!D52&lt;&gt;"",'Per8'!D52,"")</f>
        <v>#REF!</v>
      </c>
      <c r="E52" s="124" t="e">
        <f>'Per8'!E52</f>
        <v>#REF!</v>
      </c>
      <c r="F52" s="54" t="e">
        <f>'Per8'!F52</f>
        <v>#REF!</v>
      </c>
      <c r="G52" s="368" t="e">
        <f>IF(E52="Hourly",ROUND('Per8'!G52*1.03,2),ROUND('Per8'!G52*1.03,0))</f>
        <v>#REF!</v>
      </c>
      <c r="H52" s="369"/>
      <c r="I52" s="8"/>
      <c r="J52" s="59"/>
      <c r="K52" s="9" t="e">
        <f t="shared" si="4"/>
        <v>#REF!</v>
      </c>
      <c r="L52" s="10" t="e">
        <f t="shared" si="0"/>
        <v>#REF!</v>
      </c>
      <c r="M52" s="45" t="e">
        <f t="shared" si="1"/>
        <v>#REF!</v>
      </c>
      <c r="N52" s="45" t="e">
        <f t="shared" si="2"/>
        <v>#REF!</v>
      </c>
      <c r="O52" s="11" t="e">
        <f t="shared" si="3"/>
        <v>#REF!</v>
      </c>
      <c r="P52" s="74"/>
      <c r="Q52" s="17"/>
      <c r="S52" s="3"/>
    </row>
    <row r="53" spans="1:19" ht="13.5" hidden="1" customHeight="1" x14ac:dyDescent="0.2">
      <c r="A53" s="362"/>
      <c r="B53" s="367" t="e">
        <f>IF('Per8'!B53&lt;&gt;"",'Per8'!B53,"")</f>
        <v>#REF!</v>
      </c>
      <c r="C53" s="367"/>
      <c r="D53" s="129" t="e">
        <f>IF('Per8'!D53&lt;&gt;"",'Per8'!D53,"")</f>
        <v>#REF!</v>
      </c>
      <c r="E53" s="124" t="e">
        <f>'Per8'!E53</f>
        <v>#REF!</v>
      </c>
      <c r="F53" s="54" t="e">
        <f>'Per8'!F53</f>
        <v>#REF!</v>
      </c>
      <c r="G53" s="368" t="e">
        <f>IF(E53="Hourly",ROUND('Per8'!G53*1.03,2),ROUND('Per8'!G53*1.03,0))</f>
        <v>#REF!</v>
      </c>
      <c r="H53" s="369"/>
      <c r="I53" s="8"/>
      <c r="J53" s="59"/>
      <c r="K53" s="9" t="e">
        <f t="shared" si="4"/>
        <v>#REF!</v>
      </c>
      <c r="L53" s="10" t="e">
        <f t="shared" si="0"/>
        <v>#REF!</v>
      </c>
      <c r="M53" s="45" t="e">
        <f t="shared" si="1"/>
        <v>#REF!</v>
      </c>
      <c r="N53" s="45" t="e">
        <f t="shared" si="2"/>
        <v>#REF!</v>
      </c>
      <c r="O53" s="11" t="e">
        <f t="shared" si="3"/>
        <v>#REF!</v>
      </c>
      <c r="P53" s="74"/>
      <c r="Q53" s="17"/>
      <c r="S53" s="3"/>
    </row>
    <row r="54" spans="1:19" ht="13.5" hidden="1" customHeight="1" x14ac:dyDescent="0.2">
      <c r="A54" s="362"/>
      <c r="B54" s="367" t="e">
        <f>IF('Per8'!B54&lt;&gt;"",'Per8'!B54,"")</f>
        <v>#REF!</v>
      </c>
      <c r="C54" s="367"/>
      <c r="D54" s="129" t="e">
        <f>IF('Per8'!D54&lt;&gt;"",'Per8'!D54,"")</f>
        <v>#REF!</v>
      </c>
      <c r="E54" s="124" t="e">
        <f>'Per8'!E54</f>
        <v>#REF!</v>
      </c>
      <c r="F54" s="54" t="e">
        <f>'Per8'!F54</f>
        <v>#REF!</v>
      </c>
      <c r="G54" s="368" t="e">
        <f>IF(E54="Hourly",ROUND('Per8'!G54*1.03,2),ROUND('Per8'!G54*1.03,0))</f>
        <v>#REF!</v>
      </c>
      <c r="H54" s="369"/>
      <c r="I54" s="8"/>
      <c r="J54" s="59"/>
      <c r="K54" s="9" t="e">
        <f t="shared" si="4"/>
        <v>#REF!</v>
      </c>
      <c r="L54" s="10" t="e">
        <f t="shared" si="0"/>
        <v>#REF!</v>
      </c>
      <c r="M54" s="45" t="e">
        <f t="shared" si="1"/>
        <v>#REF!</v>
      </c>
      <c r="N54" s="45" t="e">
        <f t="shared" si="2"/>
        <v>#REF!</v>
      </c>
      <c r="O54" s="11" t="e">
        <f t="shared" si="3"/>
        <v>#REF!</v>
      </c>
      <c r="P54" s="74"/>
      <c r="Q54" s="17"/>
      <c r="S54" s="3"/>
    </row>
    <row r="55" spans="1:19" ht="13.5" hidden="1" customHeight="1" x14ac:dyDescent="0.2">
      <c r="A55" s="362"/>
      <c r="B55" s="367" t="e">
        <f>IF('Per8'!B55&lt;&gt;"",'Per8'!B55,"")</f>
        <v>#REF!</v>
      </c>
      <c r="C55" s="367"/>
      <c r="D55" s="129" t="e">
        <f>IF('Per8'!D55&lt;&gt;"",'Per8'!D55,"")</f>
        <v>#REF!</v>
      </c>
      <c r="E55" s="124" t="e">
        <f>'Per8'!E55</f>
        <v>#REF!</v>
      </c>
      <c r="F55" s="54" t="e">
        <f>'Per8'!F55</f>
        <v>#REF!</v>
      </c>
      <c r="G55" s="368" t="e">
        <f>IF(E55="Hourly",ROUND('Per8'!G55*1.03,2),ROUND('Per8'!G55*1.03,0))</f>
        <v>#REF!</v>
      </c>
      <c r="H55" s="369"/>
      <c r="I55" s="8"/>
      <c r="J55" s="59"/>
      <c r="K55" s="9" t="e">
        <f t="shared" si="4"/>
        <v>#REF!</v>
      </c>
      <c r="L55" s="10" t="e">
        <f t="shared" si="0"/>
        <v>#REF!</v>
      </c>
      <c r="M55" s="45" t="e">
        <f t="shared" si="1"/>
        <v>#REF!</v>
      </c>
      <c r="N55" s="45" t="e">
        <f t="shared" si="2"/>
        <v>#REF!</v>
      </c>
      <c r="O55" s="11" t="e">
        <f t="shared" si="3"/>
        <v>#REF!</v>
      </c>
      <c r="P55" s="74"/>
      <c r="Q55" s="17"/>
      <c r="S55" s="3"/>
    </row>
    <row r="56" spans="1:19" ht="13.5" hidden="1" customHeight="1" x14ac:dyDescent="0.2">
      <c r="A56" s="362"/>
      <c r="B56" s="367" t="e">
        <f>IF('Per8'!B56&lt;&gt;"",'Per8'!B56,"")</f>
        <v>#REF!</v>
      </c>
      <c r="C56" s="367"/>
      <c r="D56" s="129" t="e">
        <f>IF('Per8'!D56&lt;&gt;"",'Per8'!D56,"")</f>
        <v>#REF!</v>
      </c>
      <c r="E56" s="124" t="e">
        <f>'Per8'!E56</f>
        <v>#REF!</v>
      </c>
      <c r="F56" s="54" t="e">
        <f>'Per8'!F56</f>
        <v>#REF!</v>
      </c>
      <c r="G56" s="368" t="e">
        <f>IF(E56="Hourly",ROUND('Per8'!G56*1.03,2),ROUND('Per8'!G56*1.03,0))</f>
        <v>#REF!</v>
      </c>
      <c r="H56" s="369"/>
      <c r="I56" s="8"/>
      <c r="J56" s="59"/>
      <c r="K56" s="9" t="e">
        <f t="shared" si="4"/>
        <v>#REF!</v>
      </c>
      <c r="L56" s="10" t="e">
        <f t="shared" si="0"/>
        <v>#REF!</v>
      </c>
      <c r="M56" s="45" t="e">
        <f t="shared" si="1"/>
        <v>#REF!</v>
      </c>
      <c r="N56" s="45" t="e">
        <f t="shared" si="2"/>
        <v>#REF!</v>
      </c>
      <c r="O56" s="11" t="e">
        <f t="shared" si="3"/>
        <v>#REF!</v>
      </c>
      <c r="P56" s="74"/>
      <c r="Q56" s="17"/>
      <c r="S56" s="3"/>
    </row>
    <row r="57" spans="1:19" ht="13.5" hidden="1" customHeight="1" x14ac:dyDescent="0.2">
      <c r="A57" s="362"/>
      <c r="B57" s="367" t="e">
        <f>IF('Per8'!B57&lt;&gt;"",'Per8'!B57,"")</f>
        <v>#REF!</v>
      </c>
      <c r="C57" s="367"/>
      <c r="D57" s="129" t="e">
        <f>IF('Per8'!D57&lt;&gt;"",'Per8'!D57,"")</f>
        <v>#REF!</v>
      </c>
      <c r="E57" s="124" t="e">
        <f>'Per8'!E57</f>
        <v>#REF!</v>
      </c>
      <c r="F57" s="54" t="e">
        <f>'Per8'!F57</f>
        <v>#REF!</v>
      </c>
      <c r="G57" s="368" t="e">
        <f>IF(E57="Hourly",ROUND('Per8'!G57*1.03,2),ROUND('Per8'!G57*1.03,0))</f>
        <v>#REF!</v>
      </c>
      <c r="H57" s="369"/>
      <c r="I57" s="8"/>
      <c r="J57" s="59"/>
      <c r="K57" s="9" t="e">
        <f t="shared" si="4"/>
        <v>#REF!</v>
      </c>
      <c r="L57" s="10" t="e">
        <f t="shared" si="0"/>
        <v>#REF!</v>
      </c>
      <c r="M57" s="45" t="e">
        <f t="shared" si="1"/>
        <v>#REF!</v>
      </c>
      <c r="N57" s="45" t="e">
        <f t="shared" si="2"/>
        <v>#REF!</v>
      </c>
      <c r="O57" s="11" t="e">
        <f t="shared" si="3"/>
        <v>#REF!</v>
      </c>
      <c r="P57" s="74"/>
      <c r="Q57" s="17"/>
      <c r="S57" s="3"/>
    </row>
    <row r="58" spans="1:19" ht="13.5" hidden="1" customHeight="1" x14ac:dyDescent="0.2">
      <c r="A58" s="362"/>
      <c r="B58" s="367" t="e">
        <f>IF('Per8'!B58&lt;&gt;"",'Per8'!B58,"")</f>
        <v>#REF!</v>
      </c>
      <c r="C58" s="367"/>
      <c r="D58" s="129" t="e">
        <f>IF('Per8'!D58&lt;&gt;"",'Per8'!D58,"")</f>
        <v>#REF!</v>
      </c>
      <c r="E58" s="124" t="e">
        <f>'Per8'!E58</f>
        <v>#REF!</v>
      </c>
      <c r="F58" s="54" t="e">
        <f>'Per8'!F58</f>
        <v>#REF!</v>
      </c>
      <c r="G58" s="368" t="e">
        <f>IF(E58="Hourly",ROUND('Per8'!G58*1.03,2),ROUND('Per8'!G58*1.03,0))</f>
        <v>#REF!</v>
      </c>
      <c r="H58" s="369"/>
      <c r="I58" s="8"/>
      <c r="J58" s="59"/>
      <c r="K58" s="9" t="e">
        <f t="shared" si="4"/>
        <v>#REF!</v>
      </c>
      <c r="L58" s="10" t="e">
        <f t="shared" si="0"/>
        <v>#REF!</v>
      </c>
      <c r="M58" s="45" t="e">
        <f t="shared" si="1"/>
        <v>#REF!</v>
      </c>
      <c r="N58" s="45" t="e">
        <f t="shared" si="2"/>
        <v>#REF!</v>
      </c>
      <c r="O58" s="11" t="e">
        <f t="shared" si="3"/>
        <v>#REF!</v>
      </c>
      <c r="P58" s="74"/>
      <c r="Q58" s="17"/>
      <c r="S58" s="3"/>
    </row>
    <row r="59" spans="1:19" ht="13.5" hidden="1" customHeight="1" x14ac:dyDescent="0.2">
      <c r="A59" s="362"/>
      <c r="B59" s="367" t="e">
        <f>IF('Per8'!B59&lt;&gt;"",'Per8'!B59,"")</f>
        <v>#REF!</v>
      </c>
      <c r="C59" s="367"/>
      <c r="D59" s="129" t="e">
        <f>IF('Per8'!D59&lt;&gt;"",'Per8'!D59,"")</f>
        <v>#REF!</v>
      </c>
      <c r="E59" s="124" t="e">
        <f>'Per8'!E59</f>
        <v>#REF!</v>
      </c>
      <c r="F59" s="54" t="e">
        <f>'Per8'!F59</f>
        <v>#REF!</v>
      </c>
      <c r="G59" s="368" t="e">
        <f>IF(E59="Hourly",ROUND('Per8'!G59*1.03,2),ROUND('Per8'!G59*1.03,0))</f>
        <v>#REF!</v>
      </c>
      <c r="H59" s="369"/>
      <c r="I59" s="8"/>
      <c r="J59" s="59"/>
      <c r="K59" s="9" t="e">
        <f t="shared" si="4"/>
        <v>#REF!</v>
      </c>
      <c r="L59" s="10" t="e">
        <f t="shared" si="0"/>
        <v>#REF!</v>
      </c>
      <c r="M59" s="45" t="e">
        <f t="shared" si="1"/>
        <v>#REF!</v>
      </c>
      <c r="N59" s="45" t="e">
        <f t="shared" si="2"/>
        <v>#REF!</v>
      </c>
      <c r="O59" s="11" t="e">
        <f t="shared" si="3"/>
        <v>#REF!</v>
      </c>
      <c r="P59" s="74"/>
      <c r="Q59" s="17"/>
      <c r="S59" s="3"/>
    </row>
    <row r="60" spans="1:19" ht="13.5" hidden="1" customHeight="1" x14ac:dyDescent="0.2">
      <c r="A60" s="362"/>
      <c r="B60" s="367" t="e">
        <f>IF('Per8'!B60&lt;&gt;"",'Per8'!B60,"")</f>
        <v>#REF!</v>
      </c>
      <c r="C60" s="367"/>
      <c r="D60" s="129" t="e">
        <f>IF('Per8'!D60&lt;&gt;"",'Per8'!D60,"")</f>
        <v>#REF!</v>
      </c>
      <c r="E60" s="124" t="e">
        <f>'Per8'!E60</f>
        <v>#REF!</v>
      </c>
      <c r="F60" s="54" t="e">
        <f>'Per8'!F60</f>
        <v>#REF!</v>
      </c>
      <c r="G60" s="368" t="e">
        <f>IF(E60="Hourly",ROUND('Per8'!G60*1.03,2),ROUND('Per8'!G60*1.03,0))</f>
        <v>#REF!</v>
      </c>
      <c r="H60" s="369"/>
      <c r="I60" s="8"/>
      <c r="J60" s="59"/>
      <c r="K60" s="9" t="e">
        <f t="shared" si="4"/>
        <v>#REF!</v>
      </c>
      <c r="L60" s="10" t="e">
        <f t="shared" si="0"/>
        <v>#REF!</v>
      </c>
      <c r="M60" s="45" t="e">
        <f t="shared" si="1"/>
        <v>#REF!</v>
      </c>
      <c r="N60" s="45" t="e">
        <f t="shared" si="2"/>
        <v>#REF!</v>
      </c>
      <c r="O60" s="11" t="e">
        <f t="shared" si="3"/>
        <v>#REF!</v>
      </c>
      <c r="P60" s="74"/>
      <c r="Q60" s="17"/>
      <c r="S60" s="3"/>
    </row>
    <row r="61" spans="1:19" ht="13.5" hidden="1" customHeight="1" x14ac:dyDescent="0.2">
      <c r="A61" s="362"/>
      <c r="B61" s="367" t="e">
        <f>IF('Per8'!B61&lt;&gt;"",'Per8'!B61,"")</f>
        <v>#REF!</v>
      </c>
      <c r="C61" s="367"/>
      <c r="D61" s="129" t="e">
        <f>IF('Per8'!D61&lt;&gt;"",'Per8'!D61,"")</f>
        <v>#REF!</v>
      </c>
      <c r="E61" s="124" t="e">
        <f>'Per8'!E61</f>
        <v>#REF!</v>
      </c>
      <c r="F61" s="54" t="e">
        <f>'Per8'!F61</f>
        <v>#REF!</v>
      </c>
      <c r="G61" s="368" t="e">
        <f>IF(E61="Hourly",ROUND('Per8'!G61*1.03,2),ROUND('Per8'!G61*1.03,0))</f>
        <v>#REF!</v>
      </c>
      <c r="H61" s="369"/>
      <c r="I61" s="8"/>
      <c r="J61" s="59"/>
      <c r="K61" s="9" t="e">
        <f t="shared" si="4"/>
        <v>#REF!</v>
      </c>
      <c r="L61" s="10" t="e">
        <f t="shared" si="0"/>
        <v>#REF!</v>
      </c>
      <c r="M61" s="45" t="e">
        <f t="shared" si="1"/>
        <v>#REF!</v>
      </c>
      <c r="N61" s="45" t="e">
        <f t="shared" si="2"/>
        <v>#REF!</v>
      </c>
      <c r="O61" s="11" t="e">
        <f t="shared" si="3"/>
        <v>#REF!</v>
      </c>
      <c r="P61" s="74"/>
      <c r="Q61" s="17"/>
      <c r="S61" s="3"/>
    </row>
    <row r="62" spans="1:19" ht="13.5" hidden="1" customHeight="1" x14ac:dyDescent="0.2">
      <c r="A62" s="362"/>
      <c r="B62" s="367" t="e">
        <f>IF('Per8'!B62&lt;&gt;"",'Per8'!B62,"")</f>
        <v>#REF!</v>
      </c>
      <c r="C62" s="367"/>
      <c r="D62" s="129" t="e">
        <f>IF('Per8'!D62&lt;&gt;"",'Per8'!D62,"")</f>
        <v>#REF!</v>
      </c>
      <c r="E62" s="124" t="e">
        <f>'Per8'!E62</f>
        <v>#REF!</v>
      </c>
      <c r="F62" s="54" t="e">
        <f>'Per8'!F62</f>
        <v>#REF!</v>
      </c>
      <c r="G62" s="368" t="e">
        <f>IF(E62="Hourly",ROUND('Per8'!G62*1.03,2),ROUND('Per8'!G62*1.03,0))</f>
        <v>#REF!</v>
      </c>
      <c r="H62" s="369"/>
      <c r="I62" s="8"/>
      <c r="J62" s="59"/>
      <c r="K62" s="9" t="e">
        <f t="shared" si="4"/>
        <v>#REF!</v>
      </c>
      <c r="L62" s="10" t="e">
        <f t="shared" si="0"/>
        <v>#REF!</v>
      </c>
      <c r="M62" s="45" t="e">
        <f t="shared" si="1"/>
        <v>#REF!</v>
      </c>
      <c r="N62" s="45" t="e">
        <f t="shared" si="2"/>
        <v>#REF!</v>
      </c>
      <c r="O62" s="11" t="e">
        <f t="shared" si="3"/>
        <v>#REF!</v>
      </c>
      <c r="P62" s="74"/>
      <c r="S62" s="3"/>
    </row>
    <row r="63" spans="1:19" ht="13.5" hidden="1" customHeight="1" thickBot="1" x14ac:dyDescent="0.25">
      <c r="A63" s="362"/>
      <c r="B63" s="367" t="e">
        <f>IF('Per8'!B63&lt;&gt;"",'Per8'!B63,"")</f>
        <v>#REF!</v>
      </c>
      <c r="C63" s="367"/>
      <c r="D63" s="129" t="e">
        <f>IF('Per8'!D63&lt;&gt;"",'Per8'!D63,"")</f>
        <v>#REF!</v>
      </c>
      <c r="E63" s="124" t="e">
        <f>'Per8'!E63</f>
        <v>#REF!</v>
      </c>
      <c r="F63" s="54" t="e">
        <f>'Per8'!F63</f>
        <v>#REF!</v>
      </c>
      <c r="G63" s="368" t="e">
        <f>IF(E63="Hourly",ROUND('Per8'!G63*1.03,2),ROUND('Per8'!G63*1.03,0))</f>
        <v>#REF!</v>
      </c>
      <c r="H63" s="369"/>
      <c r="I63" s="8"/>
      <c r="J63" s="59"/>
      <c r="K63" s="9" t="e">
        <f t="shared" si="4"/>
        <v>#REF!</v>
      </c>
      <c r="L63" s="10" t="e">
        <f t="shared" si="0"/>
        <v>#REF!</v>
      </c>
      <c r="M63" s="45" t="e">
        <f t="shared" si="1"/>
        <v>#REF!</v>
      </c>
      <c r="N63" s="45" t="e">
        <f t="shared" si="2"/>
        <v>#REF!</v>
      </c>
      <c r="O63" s="11" t="e">
        <f t="shared" si="3"/>
        <v>#REF!</v>
      </c>
      <c r="P63" s="74"/>
      <c r="S63" s="3"/>
    </row>
    <row r="64" spans="1:19" ht="13.5" customHeight="1" x14ac:dyDescent="0.2">
      <c r="A64" s="362"/>
      <c r="B64" s="372" t="s">
        <v>24</v>
      </c>
      <c r="C64" s="372"/>
      <c r="D64" s="372"/>
      <c r="E64" s="372"/>
      <c r="F64" s="372"/>
      <c r="G64" s="372"/>
      <c r="H64" s="372"/>
      <c r="I64" s="372"/>
      <c r="J64" s="372"/>
      <c r="K64" s="372"/>
      <c r="L64" s="372"/>
      <c r="M64" s="372"/>
      <c r="N64" s="50" t="s">
        <v>0</v>
      </c>
      <c r="O64" s="20">
        <f>SUM(O65:O66)</f>
        <v>0</v>
      </c>
      <c r="P64" s="75"/>
    </row>
    <row r="65" spans="1:17" ht="13.5" customHeight="1" x14ac:dyDescent="0.2">
      <c r="A65" s="362"/>
      <c r="B65" s="367" t="s">
        <v>33</v>
      </c>
      <c r="C65" s="367"/>
      <c r="D65" s="367"/>
      <c r="E65" s="367"/>
      <c r="F65" s="367"/>
      <c r="G65" s="367"/>
      <c r="H65" s="367"/>
      <c r="I65" s="367"/>
      <c r="J65" s="367"/>
      <c r="K65" s="367"/>
      <c r="L65" s="367"/>
      <c r="M65" s="367"/>
      <c r="N65" s="370"/>
      <c r="O65" s="14"/>
      <c r="P65" s="76"/>
    </row>
    <row r="66" spans="1:17" ht="13.5" customHeight="1" thickBot="1" x14ac:dyDescent="0.25">
      <c r="A66" s="362"/>
      <c r="B66" s="367" t="s">
        <v>48</v>
      </c>
      <c r="C66" s="367"/>
      <c r="D66" s="367"/>
      <c r="E66" s="367"/>
      <c r="F66" s="367"/>
      <c r="G66" s="367"/>
      <c r="H66" s="367"/>
      <c r="I66" s="367"/>
      <c r="J66" s="367"/>
      <c r="K66" s="367"/>
      <c r="L66" s="367"/>
      <c r="M66" s="367"/>
      <c r="N66" s="370"/>
      <c r="O66" s="51"/>
      <c r="P66" s="76"/>
    </row>
    <row r="67" spans="1:17" ht="13.5" customHeight="1" x14ac:dyDescent="0.2">
      <c r="A67" s="362"/>
      <c r="B67" s="372" t="s">
        <v>52</v>
      </c>
      <c r="C67" s="372"/>
      <c r="D67" s="372"/>
      <c r="E67" s="372"/>
      <c r="F67" s="372"/>
      <c r="G67" s="372"/>
      <c r="H67" s="372"/>
      <c r="I67" s="372"/>
      <c r="J67" s="372"/>
      <c r="K67" s="372"/>
      <c r="L67" s="372"/>
      <c r="M67" s="372"/>
      <c r="N67" s="50" t="s">
        <v>0</v>
      </c>
      <c r="O67" s="20">
        <f>SUM(O68:O77)</f>
        <v>0</v>
      </c>
      <c r="P67" s="75"/>
    </row>
    <row r="68" spans="1:17" ht="13.5" customHeight="1" x14ac:dyDescent="0.2">
      <c r="A68" s="362"/>
      <c r="B68" s="367" t="s">
        <v>34</v>
      </c>
      <c r="C68" s="367"/>
      <c r="D68" s="367"/>
      <c r="E68" s="367"/>
      <c r="F68" s="367"/>
      <c r="G68" s="367"/>
      <c r="H68" s="367"/>
      <c r="I68" s="367"/>
      <c r="J68" s="367"/>
      <c r="K68" s="367"/>
      <c r="L68" s="367"/>
      <c r="M68" s="367"/>
      <c r="N68" s="370"/>
      <c r="O68" s="14"/>
      <c r="P68" s="76"/>
    </row>
    <row r="69" spans="1:17" ht="13.5" customHeight="1" x14ac:dyDescent="0.2">
      <c r="A69" s="362"/>
      <c r="B69" s="367" t="s">
        <v>44</v>
      </c>
      <c r="C69" s="367"/>
      <c r="D69" s="367"/>
      <c r="E69" s="367"/>
      <c r="F69" s="367"/>
      <c r="G69" s="367"/>
      <c r="H69" s="367"/>
      <c r="I69" s="367"/>
      <c r="J69" s="367"/>
      <c r="K69" s="367"/>
      <c r="L69" s="367"/>
      <c r="M69" s="367"/>
      <c r="N69" s="370"/>
      <c r="O69" s="16"/>
      <c r="P69" s="76"/>
    </row>
    <row r="70" spans="1:17" ht="13.5" customHeight="1" x14ac:dyDescent="0.2">
      <c r="A70" s="362"/>
      <c r="B70" s="367" t="s">
        <v>27</v>
      </c>
      <c r="C70" s="367"/>
      <c r="D70" s="367"/>
      <c r="E70" s="367"/>
      <c r="F70" s="367"/>
      <c r="G70" s="367"/>
      <c r="H70" s="367"/>
      <c r="I70" s="367"/>
      <c r="J70" s="367"/>
      <c r="K70" s="367"/>
      <c r="L70" s="367"/>
      <c r="M70" s="367"/>
      <c r="N70" s="370"/>
      <c r="O70" s="16"/>
      <c r="P70" s="76"/>
    </row>
    <row r="71" spans="1:17" ht="13.5" customHeight="1" x14ac:dyDescent="0.2">
      <c r="A71" s="362"/>
      <c r="B71" s="367" t="s">
        <v>35</v>
      </c>
      <c r="C71" s="367"/>
      <c r="D71" s="367"/>
      <c r="E71" s="367"/>
      <c r="F71" s="367"/>
      <c r="G71" s="367"/>
      <c r="H71" s="367"/>
      <c r="I71" s="367"/>
      <c r="J71" s="367"/>
      <c r="K71" s="367"/>
      <c r="L71" s="367"/>
      <c r="M71" s="367"/>
      <c r="N71" s="370"/>
      <c r="O71" s="16"/>
      <c r="P71" s="76"/>
    </row>
    <row r="72" spans="1:17" ht="13.5" customHeight="1" x14ac:dyDescent="0.2">
      <c r="A72" s="362"/>
      <c r="B72" s="47" t="s">
        <v>49</v>
      </c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8"/>
      <c r="O72" s="16"/>
      <c r="P72" s="76"/>
    </row>
    <row r="73" spans="1:17" ht="13.5" customHeight="1" x14ac:dyDescent="0.2">
      <c r="A73" s="362"/>
      <c r="B73" s="47" t="s">
        <v>50</v>
      </c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8"/>
      <c r="O73" s="16"/>
      <c r="P73" s="76"/>
    </row>
    <row r="74" spans="1:17" ht="13.5" customHeight="1" x14ac:dyDescent="0.2">
      <c r="A74" s="362"/>
      <c r="B74" s="371" t="s">
        <v>181</v>
      </c>
      <c r="C74" s="367"/>
      <c r="D74" s="367"/>
      <c r="E74" s="367"/>
      <c r="F74" s="367"/>
      <c r="G74" s="367"/>
      <c r="H74" s="367"/>
      <c r="I74" s="367"/>
      <c r="J74" s="367"/>
      <c r="K74" s="367"/>
      <c r="L74" s="367"/>
      <c r="M74" s="367"/>
      <c r="N74" s="370"/>
      <c r="O74" s="15"/>
      <c r="P74" s="76"/>
      <c r="Q74" s="17" t="s">
        <v>212</v>
      </c>
    </row>
    <row r="75" spans="1:17" ht="13.5" customHeight="1" x14ac:dyDescent="0.2">
      <c r="A75" s="362"/>
      <c r="B75" s="367" t="s">
        <v>80</v>
      </c>
      <c r="C75" s="367"/>
      <c r="D75" s="367"/>
      <c r="E75" s="367"/>
      <c r="F75" s="367"/>
      <c r="G75" s="367"/>
      <c r="H75" s="367"/>
      <c r="I75" s="367"/>
      <c r="J75" s="367"/>
      <c r="K75" s="367"/>
      <c r="L75" s="367"/>
      <c r="M75" s="367"/>
      <c r="N75" s="370"/>
      <c r="O75" s="15"/>
      <c r="P75" s="76"/>
    </row>
    <row r="76" spans="1:17" ht="13.5" customHeight="1" x14ac:dyDescent="0.2">
      <c r="A76" s="362"/>
      <c r="B76" s="379" t="s">
        <v>76</v>
      </c>
      <c r="C76" s="380"/>
      <c r="D76" s="380"/>
      <c r="E76" s="380"/>
      <c r="F76" s="380"/>
      <c r="G76" s="380"/>
      <c r="H76" s="380"/>
      <c r="I76" s="380"/>
      <c r="J76" s="380"/>
      <c r="K76" s="380"/>
      <c r="L76" s="380"/>
      <c r="M76" s="380"/>
      <c r="N76" s="380"/>
      <c r="O76" s="125"/>
      <c r="P76" s="76"/>
    </row>
    <row r="77" spans="1:17" ht="13.5" customHeight="1" thickBot="1" x14ac:dyDescent="0.25">
      <c r="A77" s="363"/>
      <c r="B77" s="381" t="s">
        <v>188</v>
      </c>
      <c r="C77" s="373"/>
      <c r="D77" s="373"/>
      <c r="E77" s="373"/>
      <c r="F77" s="373"/>
      <c r="G77" s="373"/>
      <c r="H77" s="373"/>
      <c r="I77" s="373"/>
      <c r="J77" s="373"/>
      <c r="K77" s="373"/>
      <c r="L77" s="373"/>
      <c r="M77" s="373"/>
      <c r="N77" s="374"/>
      <c r="O77" s="19"/>
      <c r="P77" s="76"/>
    </row>
    <row r="78" spans="1:17" ht="18" customHeight="1" thickBot="1" x14ac:dyDescent="0.25">
      <c r="A78" s="382"/>
      <c r="B78" s="382"/>
      <c r="C78" s="382"/>
      <c r="D78" s="382"/>
      <c r="E78" s="382"/>
      <c r="F78" s="382"/>
      <c r="G78" s="382"/>
      <c r="H78" s="382"/>
      <c r="I78" s="382"/>
      <c r="J78" s="382"/>
      <c r="K78" s="382"/>
      <c r="L78" s="382"/>
      <c r="M78" s="382"/>
      <c r="N78" s="382"/>
      <c r="O78" s="382"/>
      <c r="P78" s="77"/>
    </row>
    <row r="79" spans="1:17" ht="13.5" customHeight="1" x14ac:dyDescent="0.2">
      <c r="A79" s="361" t="s">
        <v>39</v>
      </c>
      <c r="B79" s="383" t="s">
        <v>64</v>
      </c>
      <c r="C79" s="383"/>
      <c r="D79" s="383"/>
      <c r="E79" s="383"/>
      <c r="F79" s="383"/>
      <c r="G79" s="383"/>
      <c r="H79" s="383"/>
      <c r="I79" s="383"/>
      <c r="J79" s="383"/>
      <c r="K79" s="383"/>
      <c r="L79" s="383"/>
      <c r="M79" s="383"/>
      <c r="N79" s="50" t="s">
        <v>0</v>
      </c>
      <c r="O79" s="20">
        <f>SUM(O80:O82)</f>
        <v>0</v>
      </c>
      <c r="P79" s="75"/>
    </row>
    <row r="80" spans="1:17" ht="13.5" customHeight="1" x14ac:dyDescent="0.2">
      <c r="A80" s="362"/>
      <c r="B80" s="367" t="s">
        <v>16</v>
      </c>
      <c r="C80" s="367"/>
      <c r="D80" s="367"/>
      <c r="E80" s="367"/>
      <c r="F80" s="367"/>
      <c r="G80" s="367"/>
      <c r="H80" s="367"/>
      <c r="I80" s="367"/>
      <c r="J80" s="367"/>
      <c r="K80" s="367"/>
      <c r="L80" s="367"/>
      <c r="M80" s="367"/>
      <c r="N80" s="370"/>
      <c r="O80" s="18"/>
      <c r="P80" s="76"/>
    </row>
    <row r="81" spans="1:17" ht="13.5" customHeight="1" x14ac:dyDescent="0.2">
      <c r="A81" s="362"/>
      <c r="B81" s="367" t="s">
        <v>17</v>
      </c>
      <c r="C81" s="367"/>
      <c r="D81" s="367"/>
      <c r="E81" s="367"/>
      <c r="F81" s="367"/>
      <c r="G81" s="367"/>
      <c r="H81" s="367"/>
      <c r="I81" s="367"/>
      <c r="J81" s="367"/>
      <c r="K81" s="367"/>
      <c r="L81" s="367"/>
      <c r="M81" s="367"/>
      <c r="N81" s="370"/>
      <c r="O81" s="12"/>
      <c r="P81" s="76"/>
    </row>
    <row r="82" spans="1:17" ht="13.5" customHeight="1" thickBot="1" x14ac:dyDescent="0.25">
      <c r="A82" s="362"/>
      <c r="B82" s="373" t="s">
        <v>18</v>
      </c>
      <c r="C82" s="373"/>
      <c r="D82" s="373"/>
      <c r="E82" s="373"/>
      <c r="F82" s="373"/>
      <c r="G82" s="373"/>
      <c r="H82" s="373"/>
      <c r="I82" s="373"/>
      <c r="J82" s="373"/>
      <c r="K82" s="373"/>
      <c r="L82" s="373"/>
      <c r="M82" s="373"/>
      <c r="N82" s="374"/>
      <c r="O82" s="13"/>
      <c r="P82" s="76"/>
    </row>
    <row r="83" spans="1:17" ht="13.5" customHeight="1" x14ac:dyDescent="0.2">
      <c r="A83" s="362"/>
      <c r="B83" s="372" t="s">
        <v>51</v>
      </c>
      <c r="C83" s="372"/>
      <c r="D83" s="372"/>
      <c r="E83" s="372"/>
      <c r="F83" s="372"/>
      <c r="G83" s="372"/>
      <c r="H83" s="372"/>
      <c r="I83" s="372"/>
      <c r="J83" s="372"/>
      <c r="K83" s="372"/>
      <c r="L83" s="372"/>
      <c r="M83" s="372"/>
      <c r="N83" s="50" t="s">
        <v>0</v>
      </c>
      <c r="O83" s="20">
        <f>SUM(O84:O87)</f>
        <v>0</v>
      </c>
      <c r="P83" s="75"/>
    </row>
    <row r="84" spans="1:17" ht="13.5" customHeight="1" x14ac:dyDescent="0.2">
      <c r="A84" s="362"/>
      <c r="B84" s="384" t="s">
        <v>28</v>
      </c>
      <c r="C84" s="384"/>
      <c r="D84" s="384"/>
      <c r="E84" s="384"/>
      <c r="F84" s="384"/>
      <c r="G84" s="384"/>
      <c r="H84" s="384"/>
      <c r="I84" s="384"/>
      <c r="J84" s="384"/>
      <c r="K84" s="384"/>
      <c r="L84" s="384"/>
      <c r="M84" s="384"/>
      <c r="N84" s="385"/>
      <c r="O84" s="14"/>
      <c r="P84" s="76"/>
    </row>
    <row r="85" spans="1:17" ht="13.5" customHeight="1" x14ac:dyDescent="0.2">
      <c r="A85" s="362"/>
      <c r="B85" s="367" t="s">
        <v>29</v>
      </c>
      <c r="C85" s="367"/>
      <c r="D85" s="367"/>
      <c r="E85" s="367"/>
      <c r="F85" s="367"/>
      <c r="G85" s="367"/>
      <c r="H85" s="367"/>
      <c r="I85" s="367"/>
      <c r="J85" s="367"/>
      <c r="K85" s="367"/>
      <c r="L85" s="367"/>
      <c r="M85" s="367"/>
      <c r="N85" s="370"/>
      <c r="O85" s="16"/>
      <c r="P85" s="76"/>
      <c r="Q85" s="17" t="s">
        <v>211</v>
      </c>
    </row>
    <row r="86" spans="1:17" ht="13.5" customHeight="1" x14ac:dyDescent="0.2">
      <c r="A86" s="362"/>
      <c r="B86" s="367" t="s">
        <v>47</v>
      </c>
      <c r="C86" s="367"/>
      <c r="D86" s="367"/>
      <c r="E86" s="367"/>
      <c r="F86" s="367"/>
      <c r="G86" s="367"/>
      <c r="H86" s="367"/>
      <c r="I86" s="367"/>
      <c r="J86" s="367"/>
      <c r="K86" s="367"/>
      <c r="L86" s="367"/>
      <c r="M86" s="367"/>
      <c r="N86" s="370"/>
      <c r="O86" s="16"/>
      <c r="P86" s="76"/>
    </row>
    <row r="87" spans="1:17" ht="13.5" customHeight="1" thickBot="1" x14ac:dyDescent="0.25">
      <c r="A87" s="362"/>
      <c r="B87" s="373" t="s">
        <v>30</v>
      </c>
      <c r="C87" s="373"/>
      <c r="D87" s="373"/>
      <c r="E87" s="373"/>
      <c r="F87" s="373"/>
      <c r="G87" s="373"/>
      <c r="H87" s="373"/>
      <c r="I87" s="373"/>
      <c r="J87" s="373"/>
      <c r="K87" s="373"/>
      <c r="L87" s="373"/>
      <c r="M87" s="373"/>
      <c r="N87" s="374"/>
      <c r="O87" s="19"/>
      <c r="P87" s="76"/>
      <c r="Q87" s="17" t="s">
        <v>213</v>
      </c>
    </row>
    <row r="88" spans="1:17" ht="13.5" customHeight="1" x14ac:dyDescent="0.2">
      <c r="A88" s="362"/>
      <c r="B88" s="375" t="s">
        <v>53</v>
      </c>
      <c r="C88" s="375"/>
      <c r="D88" s="375"/>
      <c r="E88" s="375"/>
      <c r="F88" s="375"/>
      <c r="G88" s="375"/>
      <c r="H88" s="375"/>
      <c r="I88" s="375"/>
      <c r="J88" s="375"/>
      <c r="K88" s="375"/>
      <c r="L88" s="375"/>
      <c r="M88" s="375"/>
      <c r="N88" s="50" t="s">
        <v>0</v>
      </c>
      <c r="O88" s="21">
        <f>SUM(O89:O94)</f>
        <v>0</v>
      </c>
      <c r="P88" s="75"/>
    </row>
    <row r="89" spans="1:17" ht="13.5" customHeight="1" x14ac:dyDescent="0.2">
      <c r="A89" s="362"/>
      <c r="B89" s="376" t="s">
        <v>199</v>
      </c>
      <c r="C89" s="377"/>
      <c r="D89" s="377"/>
      <c r="E89" s="377"/>
      <c r="F89" s="377"/>
      <c r="G89" s="377"/>
      <c r="H89" s="377"/>
      <c r="I89" s="377"/>
      <c r="J89" s="377"/>
      <c r="K89" s="377"/>
      <c r="L89" s="377"/>
      <c r="M89" s="377"/>
      <c r="N89" s="378"/>
      <c r="O89" s="154"/>
      <c r="P89" s="75"/>
      <c r="Q89" s="195" t="s">
        <v>214</v>
      </c>
    </row>
    <row r="90" spans="1:17" ht="13.5" customHeight="1" x14ac:dyDescent="0.2">
      <c r="A90" s="362"/>
      <c r="B90" s="367" t="s">
        <v>54</v>
      </c>
      <c r="C90" s="367"/>
      <c r="D90" s="367"/>
      <c r="E90" s="367"/>
      <c r="F90" s="367"/>
      <c r="G90" s="367"/>
      <c r="H90" s="367"/>
      <c r="I90" s="367"/>
      <c r="J90" s="367"/>
      <c r="K90" s="367"/>
      <c r="L90" s="367"/>
      <c r="M90" s="367"/>
      <c r="N90" s="370"/>
      <c r="O90" s="16"/>
      <c r="P90" s="76"/>
    </row>
    <row r="91" spans="1:17" ht="13.5" customHeight="1" x14ac:dyDescent="0.2">
      <c r="A91" s="362"/>
      <c r="B91" s="367" t="s">
        <v>55</v>
      </c>
      <c r="C91" s="367"/>
      <c r="D91" s="367"/>
      <c r="E91" s="367"/>
      <c r="F91" s="367"/>
      <c r="G91" s="367"/>
      <c r="H91" s="367"/>
      <c r="I91" s="367"/>
      <c r="J91" s="367"/>
      <c r="K91" s="367"/>
      <c r="L91" s="367"/>
      <c r="M91" s="367"/>
      <c r="N91" s="370"/>
      <c r="O91" s="15"/>
      <c r="P91" s="76"/>
    </row>
    <row r="92" spans="1:17" ht="13.5" customHeight="1" x14ac:dyDescent="0.2">
      <c r="A92" s="362"/>
      <c r="B92" s="371" t="s">
        <v>32</v>
      </c>
      <c r="C92" s="367"/>
      <c r="D92" s="367"/>
      <c r="E92" s="367"/>
      <c r="F92" s="367"/>
      <c r="G92" s="367"/>
      <c r="H92" s="367"/>
      <c r="I92" s="367"/>
      <c r="J92" s="367"/>
      <c r="K92" s="367"/>
      <c r="L92" s="367"/>
      <c r="M92" s="367"/>
      <c r="N92" s="370"/>
      <c r="O92" s="15"/>
      <c r="P92" s="76"/>
    </row>
    <row r="93" spans="1:17" ht="13.5" customHeight="1" x14ac:dyDescent="0.2">
      <c r="A93" s="362"/>
      <c r="B93" s="371" t="s">
        <v>81</v>
      </c>
      <c r="C93" s="367"/>
      <c r="D93" s="367"/>
      <c r="E93" s="367"/>
      <c r="F93" s="367"/>
      <c r="G93" s="367"/>
      <c r="H93" s="367"/>
      <c r="I93" s="367"/>
      <c r="J93" s="367"/>
      <c r="K93" s="367"/>
      <c r="L93" s="367"/>
      <c r="M93" s="367"/>
      <c r="N93" s="370"/>
      <c r="O93" s="15"/>
      <c r="P93" s="76"/>
    </row>
    <row r="94" spans="1:17" ht="13.5" customHeight="1" thickBot="1" x14ac:dyDescent="0.25">
      <c r="A94" s="363"/>
      <c r="B94" s="381" t="s">
        <v>188</v>
      </c>
      <c r="C94" s="373"/>
      <c r="D94" s="373"/>
      <c r="E94" s="373"/>
      <c r="F94" s="373"/>
      <c r="G94" s="373"/>
      <c r="H94" s="373"/>
      <c r="I94" s="373"/>
      <c r="J94" s="373"/>
      <c r="K94" s="373"/>
      <c r="L94" s="373"/>
      <c r="M94" s="373"/>
      <c r="N94" s="374"/>
      <c r="O94" s="22"/>
      <c r="P94" s="76"/>
    </row>
    <row r="95" spans="1:17" ht="18" customHeight="1" thickBot="1" x14ac:dyDescent="0.25">
      <c r="A95" s="31"/>
      <c r="B95" s="386"/>
      <c r="C95" s="386"/>
      <c r="D95" s="386"/>
      <c r="E95" s="386"/>
      <c r="F95" s="386"/>
      <c r="G95" s="386"/>
      <c r="H95" s="386"/>
      <c r="I95" s="386"/>
      <c r="J95" s="386"/>
      <c r="K95" s="386"/>
      <c r="L95" s="386"/>
      <c r="M95" s="386"/>
      <c r="N95" s="386"/>
      <c r="O95" s="386"/>
      <c r="P95" s="78"/>
    </row>
    <row r="96" spans="1:17" ht="13.5" customHeight="1" x14ac:dyDescent="0.2">
      <c r="A96" s="361" t="s">
        <v>41</v>
      </c>
      <c r="B96" s="387" t="s">
        <v>42</v>
      </c>
      <c r="C96" s="388"/>
      <c r="D96" s="388"/>
      <c r="E96" s="388"/>
      <c r="F96" s="388"/>
      <c r="G96" s="388"/>
      <c r="H96" s="388"/>
      <c r="I96" s="388"/>
      <c r="J96" s="388"/>
      <c r="K96" s="388"/>
      <c r="L96" s="388"/>
      <c r="M96" s="388"/>
      <c r="N96" s="102" t="s">
        <v>20</v>
      </c>
      <c r="O96" s="103">
        <f>J118</f>
        <v>0</v>
      </c>
      <c r="P96" s="74"/>
    </row>
    <row r="97" spans="1:17" ht="26.25" customHeight="1" x14ac:dyDescent="0.2">
      <c r="A97" s="362"/>
      <c r="B97" s="389" t="s">
        <v>59</v>
      </c>
      <c r="C97" s="49" t="s">
        <v>25</v>
      </c>
      <c r="D97" s="49"/>
      <c r="E97" s="49"/>
      <c r="F97" s="392" t="s">
        <v>177</v>
      </c>
      <c r="G97" s="393"/>
      <c r="H97" s="394" t="s">
        <v>178</v>
      </c>
      <c r="I97" s="394"/>
      <c r="J97" s="134" t="s">
        <v>179</v>
      </c>
      <c r="K97" s="150" t="s">
        <v>197</v>
      </c>
      <c r="L97" s="151" t="s">
        <v>57</v>
      </c>
      <c r="M97" s="44" t="s">
        <v>56</v>
      </c>
      <c r="N97" s="392" t="s">
        <v>180</v>
      </c>
      <c r="O97" s="401"/>
    </row>
    <row r="98" spans="1:17" ht="13.5" customHeight="1" x14ac:dyDescent="0.2">
      <c r="A98" s="362"/>
      <c r="B98" s="390"/>
      <c r="C98" s="395" t="e">
        <f>IF('Per8'!C98&lt;&gt;"",'Per8'!C98,"")</f>
        <v>#REF!</v>
      </c>
      <c r="D98" s="396"/>
      <c r="E98" s="397"/>
      <c r="F98" s="398"/>
      <c r="G98" s="398"/>
      <c r="H98" s="398"/>
      <c r="I98" s="398"/>
      <c r="J98" s="135">
        <f>F98+H98</f>
        <v>0</v>
      </c>
      <c r="K98" s="132" t="e">
        <f>IF((J98+'Period 1'!#REF!+#REF!+#REF!+#REF!+#REF!+'Per6'!J98+'Per7'!J98+'Per8'!J98)&lt;=24999,J98, 25000-'Period 1'!#REF!-#REF!-#REF!-#REF!-#REF!-'Per6'!K98-'Per7'!K98-'Per8'!K98)</f>
        <v>#REF!</v>
      </c>
      <c r="L98" s="32" t="e">
        <f>F98+H98-K98</f>
        <v>#REF!</v>
      </c>
      <c r="M98" s="32" t="e">
        <f>ROUND(IF(($L$7-VLOOKUP($G$120,$I$121:$K$135,3,FALSE))&lt;0,$K98,ROUND((1-($L$7-VLOOKUP($G$120,$I$121:$K$135,3,FALSE))/($L$7 +1 - $L$5))*$K98,0))*M$140,0) +ROUND(IF(($L$7-VLOOKUP($G$120,$I$121:$K$135,3,FALSE))&lt;0,0,ROUND(($L$7-VLOOKUP($G$120,$I$121:$K$135,3,FALSE))/($L$7 +1 - $L$5)*$K98,0))*M$141,0)</f>
        <v>#REF!</v>
      </c>
      <c r="N98" s="399" t="e">
        <f>K98+L98+M98</f>
        <v>#REF!</v>
      </c>
      <c r="O98" s="400"/>
    </row>
    <row r="99" spans="1:17" ht="13.5" customHeight="1" x14ac:dyDescent="0.2">
      <c r="A99" s="362"/>
      <c r="B99" s="390"/>
      <c r="C99" s="395" t="e">
        <f>IF('Per8'!C99&lt;&gt;"",'Per8'!C99,"")</f>
        <v>#REF!</v>
      </c>
      <c r="D99" s="396"/>
      <c r="E99" s="397"/>
      <c r="F99" s="398"/>
      <c r="G99" s="398"/>
      <c r="H99" s="398"/>
      <c r="I99" s="398"/>
      <c r="J99" s="135">
        <f t="shared" ref="J99:J117" si="5">F99+H99</f>
        <v>0</v>
      </c>
      <c r="K99" s="132" t="e">
        <f>IF((J99+'Period 1'!#REF!+#REF!+#REF!+#REF!+#REF!+'Per6'!J99+'Per7'!J99+'Per8'!J99)&lt;=24999,J99, 25000-'Period 1'!#REF!-#REF!-#REF!-#REF!-#REF!-'Per6'!K99-'Per7'!K99-'Per8'!K99)</f>
        <v>#REF!</v>
      </c>
      <c r="L99" s="32" t="e">
        <f>F99+H99-K99</f>
        <v>#REF!</v>
      </c>
      <c r="M99" s="32" t="e">
        <f t="shared" ref="M99:M117" si="6">ROUND(IF(($L$7-VLOOKUP($G$120,$I$121:$K$135,3,FALSE))&lt;0,$K99,ROUND((1-($L$7-VLOOKUP($G$120,$I$121:$K$135,3,FALSE))/($L$7 +1 - $L$5))*$K99,0))*M$140,0) +ROUND(IF(($L$7-VLOOKUP($G$120,$I$121:$K$135,3,FALSE))&lt;0,0,ROUND(($L$7-VLOOKUP($G$120,$I$121:$K$135,3,FALSE))/($L$7 +1 - $L$5)*$K99,0))*M$141,0)</f>
        <v>#REF!</v>
      </c>
      <c r="N99" s="399" t="e">
        <f t="shared" ref="N99:N117" si="7">K99+L99+M99</f>
        <v>#REF!</v>
      </c>
      <c r="O99" s="400"/>
    </row>
    <row r="100" spans="1:17" ht="13.5" customHeight="1" x14ac:dyDescent="0.2">
      <c r="A100" s="362"/>
      <c r="B100" s="390"/>
      <c r="C100" s="395" t="e">
        <f>IF('Per8'!C100&lt;&gt;"",'Per8'!C100,"")</f>
        <v>#REF!</v>
      </c>
      <c r="D100" s="396"/>
      <c r="E100" s="397"/>
      <c r="F100" s="398"/>
      <c r="G100" s="398"/>
      <c r="H100" s="398"/>
      <c r="I100" s="398"/>
      <c r="J100" s="135">
        <f t="shared" si="5"/>
        <v>0</v>
      </c>
      <c r="K100" s="132" t="e">
        <f>IF((J100+'Period 1'!#REF!+#REF!+#REF!+#REF!+#REF!+'Per6'!J100+'Per7'!J100+'Per8'!J100)&lt;=24999,J100, 25000-'Period 1'!#REF!-#REF!-#REF!-#REF!-#REF!-'Per6'!K100-'Per7'!K100-'Per8'!K100)</f>
        <v>#REF!</v>
      </c>
      <c r="L100" s="32" t="e">
        <f>F100+H100-K100</f>
        <v>#REF!</v>
      </c>
      <c r="M100" s="32" t="e">
        <f t="shared" si="6"/>
        <v>#REF!</v>
      </c>
      <c r="N100" s="399" t="e">
        <f t="shared" si="7"/>
        <v>#REF!</v>
      </c>
      <c r="O100" s="400"/>
    </row>
    <row r="101" spans="1:17" ht="13.5" customHeight="1" x14ac:dyDescent="0.2">
      <c r="A101" s="362"/>
      <c r="B101" s="390"/>
      <c r="C101" s="395" t="e">
        <f>IF('Per8'!C101&lt;&gt;"",'Per8'!C101,"")</f>
        <v>#REF!</v>
      </c>
      <c r="D101" s="396"/>
      <c r="E101" s="397"/>
      <c r="F101" s="398"/>
      <c r="G101" s="398"/>
      <c r="H101" s="398"/>
      <c r="I101" s="398"/>
      <c r="J101" s="135">
        <f t="shared" si="5"/>
        <v>0</v>
      </c>
      <c r="K101" s="132" t="e">
        <f>IF((J101+'Period 1'!#REF!+#REF!+#REF!+#REF!+#REF!+'Per6'!J101+'Per7'!J101+'Per8'!J101)&lt;=24999,J101, 25000-'Period 1'!#REF!-#REF!-#REF!-#REF!-#REF!-'Per6'!K101-'Per7'!K101-'Per8'!K101)</f>
        <v>#REF!</v>
      </c>
      <c r="L101" s="32" t="e">
        <f>F101+H101-K101</f>
        <v>#REF!</v>
      </c>
      <c r="M101" s="32" t="e">
        <f t="shared" si="6"/>
        <v>#REF!</v>
      </c>
      <c r="N101" s="399" t="e">
        <f t="shared" si="7"/>
        <v>#REF!</v>
      </c>
      <c r="O101" s="400"/>
    </row>
    <row r="102" spans="1:17" ht="13.5" customHeight="1" thickBot="1" x14ac:dyDescent="0.25">
      <c r="A102" s="362"/>
      <c r="B102" s="390"/>
      <c r="C102" s="395" t="e">
        <f>IF('Per8'!C102&lt;&gt;"",'Per8'!C102,"")</f>
        <v>#REF!</v>
      </c>
      <c r="D102" s="396"/>
      <c r="E102" s="397"/>
      <c r="F102" s="404"/>
      <c r="G102" s="404"/>
      <c r="H102" s="404"/>
      <c r="I102" s="404"/>
      <c r="J102" s="136">
        <f t="shared" si="5"/>
        <v>0</v>
      </c>
      <c r="K102" s="132" t="e">
        <f>IF((J102+'Period 1'!#REF!+#REF!+#REF!+#REF!+#REF!+'Per6'!J102+'Per7'!J102+'Per8'!J102)&lt;=24999,J102, 25000-'Period 1'!#REF!-#REF!-#REF!-#REF!-#REF!-'Per6'!K102-'Per7'!K102-'Per8'!K102)</f>
        <v>#REF!</v>
      </c>
      <c r="L102" s="83" t="e">
        <f>F102+H102-K102</f>
        <v>#REF!</v>
      </c>
      <c r="M102" s="32" t="e">
        <f t="shared" si="6"/>
        <v>#REF!</v>
      </c>
      <c r="N102" s="405" t="e">
        <f t="shared" si="7"/>
        <v>#REF!</v>
      </c>
      <c r="O102" s="406"/>
      <c r="Q102" s="17" t="s">
        <v>215</v>
      </c>
    </row>
    <row r="103" spans="1:17" ht="13.5" hidden="1" customHeight="1" x14ac:dyDescent="0.2">
      <c r="A103" s="362"/>
      <c r="B103" s="390"/>
      <c r="C103" s="395" t="e">
        <f>IF('Per8'!C103&lt;&gt;"",'Per8'!C103,"")</f>
        <v>#REF!</v>
      </c>
      <c r="D103" s="396"/>
      <c r="E103" s="397"/>
      <c r="F103" s="402"/>
      <c r="G103" s="403"/>
      <c r="H103" s="402"/>
      <c r="I103" s="403"/>
      <c r="J103" s="136">
        <f t="shared" si="5"/>
        <v>0</v>
      </c>
      <c r="K103" s="132" t="e">
        <f>IF((J103+'Period 1'!#REF!+#REF!+#REF!+#REF!+#REF!+'Per6'!J103+'Per7'!J103+'Per8'!J103)&lt;=24999,J103, 25000-'Period 1'!#REF!-#REF!-#REF!-#REF!-#REF!-'Per6'!K103-'Per7'!K103-'Per8'!K103)</f>
        <v>#REF!</v>
      </c>
      <c r="L103" s="83" t="e">
        <f t="shared" ref="L103:L117" si="8">F103+H103-K103</f>
        <v>#REF!</v>
      </c>
      <c r="M103" s="32" t="e">
        <f t="shared" si="6"/>
        <v>#REF!</v>
      </c>
      <c r="N103" s="399" t="e">
        <f t="shared" si="7"/>
        <v>#REF!</v>
      </c>
      <c r="O103" s="400"/>
    </row>
    <row r="104" spans="1:17" ht="13.5" hidden="1" customHeight="1" x14ac:dyDescent="0.2">
      <c r="A104" s="362"/>
      <c r="B104" s="390"/>
      <c r="C104" s="395" t="e">
        <f>IF('Per8'!C104&lt;&gt;"",'Per8'!C104,"")</f>
        <v>#REF!</v>
      </c>
      <c r="D104" s="396"/>
      <c r="E104" s="397"/>
      <c r="F104" s="402"/>
      <c r="G104" s="403"/>
      <c r="H104" s="402"/>
      <c r="I104" s="403"/>
      <c r="J104" s="136">
        <f t="shared" si="5"/>
        <v>0</v>
      </c>
      <c r="K104" s="132" t="e">
        <f>IF((J104+'Period 1'!#REF!+#REF!+#REF!+#REF!+#REF!+'Per6'!J104+'Per7'!J104+'Per8'!J104)&lt;=24999,J104, 25000-'Period 1'!#REF!-#REF!-#REF!-#REF!-#REF!-'Per6'!K104-'Per7'!K104-'Per8'!K104)</f>
        <v>#REF!</v>
      </c>
      <c r="L104" s="83" t="e">
        <f t="shared" si="8"/>
        <v>#REF!</v>
      </c>
      <c r="M104" s="32" t="e">
        <f t="shared" si="6"/>
        <v>#REF!</v>
      </c>
      <c r="N104" s="399" t="e">
        <f t="shared" si="7"/>
        <v>#REF!</v>
      </c>
      <c r="O104" s="400"/>
    </row>
    <row r="105" spans="1:17" ht="13.5" hidden="1" customHeight="1" x14ac:dyDescent="0.2">
      <c r="A105" s="362"/>
      <c r="B105" s="390"/>
      <c r="C105" s="395" t="e">
        <f>IF('Per8'!C105&lt;&gt;"",'Per8'!C105,"")</f>
        <v>#REF!</v>
      </c>
      <c r="D105" s="396"/>
      <c r="E105" s="397"/>
      <c r="F105" s="402"/>
      <c r="G105" s="403"/>
      <c r="H105" s="402"/>
      <c r="I105" s="403"/>
      <c r="J105" s="136">
        <f t="shared" si="5"/>
        <v>0</v>
      </c>
      <c r="K105" s="132" t="e">
        <f>IF((J105+'Period 1'!#REF!+#REF!+#REF!+#REF!+#REF!+'Per6'!J105+'Per7'!J105+'Per8'!J105)&lt;=24999,J105, 25000-'Period 1'!#REF!-#REF!-#REF!-#REF!-#REF!-'Per6'!K105-'Per7'!K105-'Per8'!K105)</f>
        <v>#REF!</v>
      </c>
      <c r="L105" s="83" t="e">
        <f t="shared" si="8"/>
        <v>#REF!</v>
      </c>
      <c r="M105" s="32" t="e">
        <f t="shared" si="6"/>
        <v>#REF!</v>
      </c>
      <c r="N105" s="399" t="e">
        <f t="shared" si="7"/>
        <v>#REF!</v>
      </c>
      <c r="O105" s="400"/>
    </row>
    <row r="106" spans="1:17" ht="13.5" hidden="1" customHeight="1" x14ac:dyDescent="0.2">
      <c r="A106" s="362"/>
      <c r="B106" s="390"/>
      <c r="C106" s="395" t="e">
        <f>IF('Per8'!C106&lt;&gt;"",'Per8'!C106,"")</f>
        <v>#REF!</v>
      </c>
      <c r="D106" s="396"/>
      <c r="E106" s="397"/>
      <c r="F106" s="402"/>
      <c r="G106" s="403"/>
      <c r="H106" s="402"/>
      <c r="I106" s="403"/>
      <c r="J106" s="136">
        <f t="shared" si="5"/>
        <v>0</v>
      </c>
      <c r="K106" s="132" t="e">
        <f>IF((J106+'Period 1'!#REF!+#REF!+#REF!+#REF!+#REF!+'Per6'!J106+'Per7'!J106+'Per8'!J106)&lt;=24999,J106, 25000-'Period 1'!#REF!-#REF!-#REF!-#REF!-#REF!-'Per6'!K106-'Per7'!K106-'Per8'!K106)</f>
        <v>#REF!</v>
      </c>
      <c r="L106" s="83" t="e">
        <f t="shared" si="8"/>
        <v>#REF!</v>
      </c>
      <c r="M106" s="32" t="e">
        <f t="shared" si="6"/>
        <v>#REF!</v>
      </c>
      <c r="N106" s="399" t="e">
        <f t="shared" si="7"/>
        <v>#REF!</v>
      </c>
      <c r="O106" s="400"/>
    </row>
    <row r="107" spans="1:17" ht="13.5" hidden="1" customHeight="1" x14ac:dyDescent="0.2">
      <c r="A107" s="362"/>
      <c r="B107" s="390"/>
      <c r="C107" s="395" t="e">
        <f>IF('Per8'!C107&lt;&gt;"",'Per8'!C107,"")</f>
        <v>#REF!</v>
      </c>
      <c r="D107" s="396"/>
      <c r="E107" s="397"/>
      <c r="F107" s="402"/>
      <c r="G107" s="403"/>
      <c r="H107" s="402"/>
      <c r="I107" s="403"/>
      <c r="J107" s="136">
        <f t="shared" si="5"/>
        <v>0</v>
      </c>
      <c r="K107" s="132" t="e">
        <f>IF((J107+'Period 1'!#REF!+#REF!+#REF!+#REF!+#REF!+'Per6'!J107+'Per7'!J107+'Per8'!J107)&lt;=24999,J107, 25000-'Period 1'!#REF!-#REF!-#REF!-#REF!-#REF!-'Per6'!K107-'Per7'!K107-'Per8'!K107)</f>
        <v>#REF!</v>
      </c>
      <c r="L107" s="83" t="e">
        <f t="shared" si="8"/>
        <v>#REF!</v>
      </c>
      <c r="M107" s="32" t="e">
        <f t="shared" si="6"/>
        <v>#REF!</v>
      </c>
      <c r="N107" s="399" t="e">
        <f t="shared" si="7"/>
        <v>#REF!</v>
      </c>
      <c r="O107" s="400"/>
    </row>
    <row r="108" spans="1:17" ht="13.5" hidden="1" customHeight="1" x14ac:dyDescent="0.2">
      <c r="A108" s="362"/>
      <c r="B108" s="390"/>
      <c r="C108" s="395" t="e">
        <f>IF('Per8'!C108&lt;&gt;"",'Per8'!C108,"")</f>
        <v>#REF!</v>
      </c>
      <c r="D108" s="396"/>
      <c r="E108" s="397"/>
      <c r="F108" s="402"/>
      <c r="G108" s="403"/>
      <c r="H108" s="402"/>
      <c r="I108" s="403"/>
      <c r="J108" s="136">
        <f t="shared" si="5"/>
        <v>0</v>
      </c>
      <c r="K108" s="132" t="e">
        <f>IF((J108+'Period 1'!#REF!+#REF!+#REF!+#REF!+#REF!+'Per6'!J108+'Per7'!J108+'Per8'!J108)&lt;=24999,J108, 25000-'Period 1'!#REF!-#REF!-#REF!-#REF!-#REF!-'Per6'!K108-'Per7'!K108-'Per8'!K108)</f>
        <v>#REF!</v>
      </c>
      <c r="L108" s="83" t="e">
        <f t="shared" si="8"/>
        <v>#REF!</v>
      </c>
      <c r="M108" s="32" t="e">
        <f t="shared" si="6"/>
        <v>#REF!</v>
      </c>
      <c r="N108" s="399" t="e">
        <f t="shared" si="7"/>
        <v>#REF!</v>
      </c>
      <c r="O108" s="400"/>
    </row>
    <row r="109" spans="1:17" ht="13.5" hidden="1" customHeight="1" x14ac:dyDescent="0.2">
      <c r="A109" s="362"/>
      <c r="B109" s="390"/>
      <c r="C109" s="395" t="e">
        <f>IF('Per8'!C109&lt;&gt;"",'Per8'!C109,"")</f>
        <v>#REF!</v>
      </c>
      <c r="D109" s="396"/>
      <c r="E109" s="397"/>
      <c r="F109" s="402"/>
      <c r="G109" s="403"/>
      <c r="H109" s="402"/>
      <c r="I109" s="403"/>
      <c r="J109" s="136">
        <f t="shared" si="5"/>
        <v>0</v>
      </c>
      <c r="K109" s="132" t="e">
        <f>IF((J109+'Period 1'!#REF!+#REF!+#REF!+#REF!+#REF!+'Per6'!J109+'Per7'!J109+'Per8'!J109)&lt;=24999,J109, 25000-'Period 1'!#REF!-#REF!-#REF!-#REF!-#REF!-'Per6'!K109-'Per7'!K109-'Per8'!K109)</f>
        <v>#REF!</v>
      </c>
      <c r="L109" s="83" t="e">
        <f t="shared" si="8"/>
        <v>#REF!</v>
      </c>
      <c r="M109" s="32" t="e">
        <f t="shared" si="6"/>
        <v>#REF!</v>
      </c>
      <c r="N109" s="399" t="e">
        <f t="shared" si="7"/>
        <v>#REF!</v>
      </c>
      <c r="O109" s="400"/>
    </row>
    <row r="110" spans="1:17" ht="13.5" hidden="1" customHeight="1" x14ac:dyDescent="0.2">
      <c r="A110" s="362"/>
      <c r="B110" s="390"/>
      <c r="C110" s="395" t="e">
        <f>IF('Per8'!C110&lt;&gt;"",'Per8'!C110,"")</f>
        <v>#REF!</v>
      </c>
      <c r="D110" s="396"/>
      <c r="E110" s="397"/>
      <c r="F110" s="402"/>
      <c r="G110" s="403"/>
      <c r="H110" s="402"/>
      <c r="I110" s="403"/>
      <c r="J110" s="136">
        <f t="shared" si="5"/>
        <v>0</v>
      </c>
      <c r="K110" s="132" t="e">
        <f>IF((J110+'Period 1'!#REF!+#REF!+#REF!+#REF!+#REF!+'Per6'!J110+'Per7'!J110+'Per8'!J110)&lt;=24999,J110, 25000-'Period 1'!#REF!-#REF!-#REF!-#REF!-#REF!-'Per6'!K110-'Per7'!K110-'Per8'!K110)</f>
        <v>#REF!</v>
      </c>
      <c r="L110" s="83" t="e">
        <f t="shared" si="8"/>
        <v>#REF!</v>
      </c>
      <c r="M110" s="32" t="e">
        <f t="shared" si="6"/>
        <v>#REF!</v>
      </c>
      <c r="N110" s="399" t="e">
        <f t="shared" si="7"/>
        <v>#REF!</v>
      </c>
      <c r="O110" s="400"/>
    </row>
    <row r="111" spans="1:17" ht="13.5" hidden="1" customHeight="1" x14ac:dyDescent="0.2">
      <c r="A111" s="362"/>
      <c r="B111" s="390"/>
      <c r="C111" s="395" t="e">
        <f>IF('Per8'!C111&lt;&gt;"",'Per8'!C111,"")</f>
        <v>#REF!</v>
      </c>
      <c r="D111" s="396"/>
      <c r="E111" s="397"/>
      <c r="F111" s="402"/>
      <c r="G111" s="403"/>
      <c r="H111" s="402"/>
      <c r="I111" s="403"/>
      <c r="J111" s="136">
        <f t="shared" si="5"/>
        <v>0</v>
      </c>
      <c r="K111" s="132" t="e">
        <f>IF((J111+'Period 1'!#REF!+#REF!+#REF!+#REF!+#REF!+'Per6'!J111+'Per7'!J111+'Per8'!J111)&lt;=24999,J111, 25000-'Period 1'!#REF!-#REF!-#REF!-#REF!-#REF!-'Per6'!K111-'Per7'!K111-'Per8'!K111)</f>
        <v>#REF!</v>
      </c>
      <c r="L111" s="83" t="e">
        <f t="shared" si="8"/>
        <v>#REF!</v>
      </c>
      <c r="M111" s="32" t="e">
        <f t="shared" si="6"/>
        <v>#REF!</v>
      </c>
      <c r="N111" s="399" t="e">
        <f t="shared" si="7"/>
        <v>#REF!</v>
      </c>
      <c r="O111" s="400"/>
    </row>
    <row r="112" spans="1:17" ht="13.5" hidden="1" customHeight="1" x14ac:dyDescent="0.2">
      <c r="A112" s="362"/>
      <c r="B112" s="390"/>
      <c r="C112" s="395" t="e">
        <f>IF('Per8'!C112&lt;&gt;"",'Per8'!C112,"")</f>
        <v>#REF!</v>
      </c>
      <c r="D112" s="396"/>
      <c r="E112" s="397"/>
      <c r="F112" s="402"/>
      <c r="G112" s="403"/>
      <c r="H112" s="402"/>
      <c r="I112" s="403"/>
      <c r="J112" s="136">
        <f t="shared" si="5"/>
        <v>0</v>
      </c>
      <c r="K112" s="132" t="e">
        <f>IF((J112+'Period 1'!#REF!+#REF!+#REF!+#REF!+#REF!+'Per6'!J112+'Per7'!J112+'Per8'!J112)&lt;=24999,J112, 25000-'Period 1'!#REF!-#REF!-#REF!-#REF!-#REF!-'Per6'!K112-'Per7'!K112-'Per8'!K112)</f>
        <v>#REF!</v>
      </c>
      <c r="L112" s="83" t="e">
        <f t="shared" si="8"/>
        <v>#REF!</v>
      </c>
      <c r="M112" s="32" t="e">
        <f t="shared" si="6"/>
        <v>#REF!</v>
      </c>
      <c r="N112" s="399" t="e">
        <f t="shared" si="7"/>
        <v>#REF!</v>
      </c>
      <c r="O112" s="400"/>
    </row>
    <row r="113" spans="1:16" ht="13.5" hidden="1" customHeight="1" x14ac:dyDescent="0.2">
      <c r="A113" s="362"/>
      <c r="B113" s="390"/>
      <c r="C113" s="395" t="e">
        <f>IF('Per8'!C113&lt;&gt;"",'Per8'!C113,"")</f>
        <v>#REF!</v>
      </c>
      <c r="D113" s="396"/>
      <c r="E113" s="397"/>
      <c r="F113" s="402"/>
      <c r="G113" s="403"/>
      <c r="H113" s="402"/>
      <c r="I113" s="403"/>
      <c r="J113" s="136">
        <f t="shared" si="5"/>
        <v>0</v>
      </c>
      <c r="K113" s="132" t="e">
        <f>IF((J113+'Period 1'!#REF!+#REF!+#REF!+#REF!+#REF!+'Per6'!J113+'Per7'!J113+'Per8'!J113)&lt;=24999,J113, 25000-'Period 1'!#REF!-#REF!-#REF!-#REF!-#REF!-'Per6'!K113-'Per7'!K113-'Per8'!K113)</f>
        <v>#REF!</v>
      </c>
      <c r="L113" s="83" t="e">
        <f t="shared" si="8"/>
        <v>#REF!</v>
      </c>
      <c r="M113" s="32" t="e">
        <f t="shared" si="6"/>
        <v>#REF!</v>
      </c>
      <c r="N113" s="399" t="e">
        <f t="shared" si="7"/>
        <v>#REF!</v>
      </c>
      <c r="O113" s="400"/>
    </row>
    <row r="114" spans="1:16" ht="13.5" hidden="1" customHeight="1" x14ac:dyDescent="0.2">
      <c r="A114" s="362"/>
      <c r="B114" s="390"/>
      <c r="C114" s="395" t="e">
        <f>IF('Per8'!C114&lt;&gt;"",'Per8'!C114,"")</f>
        <v>#REF!</v>
      </c>
      <c r="D114" s="396"/>
      <c r="E114" s="397"/>
      <c r="F114" s="402"/>
      <c r="G114" s="403"/>
      <c r="H114" s="402"/>
      <c r="I114" s="403"/>
      <c r="J114" s="136">
        <f t="shared" si="5"/>
        <v>0</v>
      </c>
      <c r="K114" s="132" t="e">
        <f>IF((J114+'Period 1'!#REF!+#REF!+#REF!+#REF!+#REF!+'Per6'!J114+'Per7'!J114+'Per8'!J114)&lt;=24999,J114, 25000-'Period 1'!#REF!-#REF!-#REF!-#REF!-#REF!-'Per6'!K114-'Per7'!K114-'Per8'!K114)</f>
        <v>#REF!</v>
      </c>
      <c r="L114" s="83" t="e">
        <f t="shared" si="8"/>
        <v>#REF!</v>
      </c>
      <c r="M114" s="32" t="e">
        <f t="shared" si="6"/>
        <v>#REF!</v>
      </c>
      <c r="N114" s="399" t="e">
        <f t="shared" si="7"/>
        <v>#REF!</v>
      </c>
      <c r="O114" s="400"/>
    </row>
    <row r="115" spans="1:16" ht="13.5" hidden="1" customHeight="1" x14ac:dyDescent="0.2">
      <c r="A115" s="362"/>
      <c r="B115" s="390"/>
      <c r="C115" s="395" t="e">
        <f>IF('Per8'!C115&lt;&gt;"",'Per8'!C115,"")</f>
        <v>#REF!</v>
      </c>
      <c r="D115" s="396"/>
      <c r="E115" s="397"/>
      <c r="F115" s="402"/>
      <c r="G115" s="403"/>
      <c r="H115" s="402"/>
      <c r="I115" s="403"/>
      <c r="J115" s="136">
        <f t="shared" si="5"/>
        <v>0</v>
      </c>
      <c r="K115" s="132" t="e">
        <f>IF((J115+'Period 1'!#REF!+#REF!+#REF!+#REF!+#REF!+'Per6'!J115+'Per7'!J115+'Per8'!J115)&lt;=24999,J115, 25000-'Period 1'!#REF!-#REF!-#REF!-#REF!-#REF!-'Per6'!K115-'Per7'!K115-'Per8'!K115)</f>
        <v>#REF!</v>
      </c>
      <c r="L115" s="83" t="e">
        <f t="shared" si="8"/>
        <v>#REF!</v>
      </c>
      <c r="M115" s="32" t="e">
        <f t="shared" si="6"/>
        <v>#REF!</v>
      </c>
      <c r="N115" s="399" t="e">
        <f t="shared" si="7"/>
        <v>#REF!</v>
      </c>
      <c r="O115" s="400"/>
    </row>
    <row r="116" spans="1:16" ht="13.5" hidden="1" customHeight="1" x14ac:dyDescent="0.2">
      <c r="A116" s="362"/>
      <c r="B116" s="390"/>
      <c r="C116" s="395" t="e">
        <f>IF('Per8'!C116&lt;&gt;"",'Per8'!C116,"")</f>
        <v>#REF!</v>
      </c>
      <c r="D116" s="396"/>
      <c r="E116" s="397"/>
      <c r="F116" s="402"/>
      <c r="G116" s="403"/>
      <c r="H116" s="402"/>
      <c r="I116" s="403"/>
      <c r="J116" s="136">
        <f t="shared" si="5"/>
        <v>0</v>
      </c>
      <c r="K116" s="132" t="e">
        <f>IF((J116+'Period 1'!#REF!+#REF!+#REF!+#REF!+#REF!+'Per6'!J116+'Per7'!J116+'Per8'!J116)&lt;=24999,J116, 25000-'Period 1'!#REF!-#REF!-#REF!-#REF!-#REF!-'Per6'!K116-'Per7'!K116-'Per8'!K116)</f>
        <v>#REF!</v>
      </c>
      <c r="L116" s="83" t="e">
        <f t="shared" si="8"/>
        <v>#REF!</v>
      </c>
      <c r="M116" s="32" t="e">
        <f t="shared" si="6"/>
        <v>#REF!</v>
      </c>
      <c r="N116" s="399" t="e">
        <f t="shared" si="7"/>
        <v>#REF!</v>
      </c>
      <c r="O116" s="400"/>
    </row>
    <row r="117" spans="1:16" ht="13.5" hidden="1" customHeight="1" thickBot="1" x14ac:dyDescent="0.25">
      <c r="A117" s="362"/>
      <c r="B117" s="390"/>
      <c r="C117" s="395" t="e">
        <f>IF('Per8'!C117&lt;&gt;"",'Per8'!C117,"")</f>
        <v>#REF!</v>
      </c>
      <c r="D117" s="396"/>
      <c r="E117" s="397"/>
      <c r="F117" s="402"/>
      <c r="G117" s="403"/>
      <c r="H117" s="402"/>
      <c r="I117" s="403"/>
      <c r="J117" s="136">
        <f t="shared" si="5"/>
        <v>0</v>
      </c>
      <c r="K117" s="132" t="e">
        <f>IF((J117+'Period 1'!#REF!+#REF!+#REF!+#REF!+#REF!+'Per6'!J117+'Per7'!J117+'Per8'!J117)&lt;=24999,J117, 25000-'Period 1'!#REF!-#REF!-#REF!-#REF!-#REF!-'Per6'!K117-'Per7'!K117-'Per8'!K117)</f>
        <v>#REF!</v>
      </c>
      <c r="L117" s="83" t="e">
        <f t="shared" si="8"/>
        <v>#REF!</v>
      </c>
      <c r="M117" s="32" t="e">
        <f t="shared" si="6"/>
        <v>#REF!</v>
      </c>
      <c r="N117" s="407" t="e">
        <f t="shared" si="7"/>
        <v>#REF!</v>
      </c>
      <c r="O117" s="408"/>
    </row>
    <row r="118" spans="1:16" ht="13.5" customHeight="1" thickBot="1" x14ac:dyDescent="0.25">
      <c r="A118" s="363"/>
      <c r="B118" s="391"/>
      <c r="C118" s="421" t="s">
        <v>21</v>
      </c>
      <c r="D118" s="421"/>
      <c r="E118" s="422"/>
      <c r="F118" s="423">
        <f>SUM(F98:G117)</f>
        <v>0</v>
      </c>
      <c r="G118" s="423"/>
      <c r="H118" s="423">
        <f>SUM(H98:I117)</f>
        <v>0</v>
      </c>
      <c r="I118" s="423"/>
      <c r="J118" s="137">
        <f>SUM(J98:J117)</f>
        <v>0</v>
      </c>
      <c r="K118" s="133" t="e">
        <f>SUM(K98:K117)</f>
        <v>#REF!</v>
      </c>
      <c r="L118" s="33" t="e">
        <f>SUM(L98:L117)</f>
        <v>#REF!</v>
      </c>
      <c r="M118" s="84" t="e">
        <f>SUM(M98:M117)</f>
        <v>#REF!</v>
      </c>
      <c r="N118" s="158"/>
      <c r="O118" s="159"/>
    </row>
    <row r="119" spans="1:16" ht="18" hidden="1" customHeight="1" thickBot="1" x14ac:dyDescent="0.25">
      <c r="A119" s="424"/>
      <c r="B119" s="424"/>
      <c r="C119" s="424"/>
      <c r="D119" s="424"/>
      <c r="E119" s="424"/>
      <c r="F119" s="424"/>
      <c r="G119" s="424"/>
      <c r="H119" s="424"/>
      <c r="I119" s="424"/>
      <c r="J119" s="424"/>
      <c r="K119" s="424"/>
      <c r="L119" s="424"/>
      <c r="M119" s="424"/>
      <c r="N119" s="382"/>
      <c r="O119" s="382"/>
      <c r="P119" s="77"/>
    </row>
    <row r="120" spans="1:16" ht="18" hidden="1" customHeight="1" x14ac:dyDescent="0.2">
      <c r="A120" s="211"/>
      <c r="B120" s="211"/>
      <c r="C120" s="211"/>
      <c r="D120" s="211"/>
      <c r="E120" s="211"/>
      <c r="F120" s="212" t="s">
        <v>229</v>
      </c>
      <c r="G120" s="211" t="e">
        <f>IF(MONTH(L5)&lt;9,YEAR(L5),YEAR(L5)+1)</f>
        <v>#REF!</v>
      </c>
      <c r="H120" s="211"/>
      <c r="I120" s="212" t="s">
        <v>230</v>
      </c>
      <c r="J120" s="212" t="s">
        <v>227</v>
      </c>
      <c r="K120" s="212" t="s">
        <v>228</v>
      </c>
      <c r="L120" s="211"/>
      <c r="M120" s="211"/>
      <c r="N120" s="211"/>
      <c r="O120" s="211"/>
      <c r="P120" s="77"/>
    </row>
    <row r="121" spans="1:16" ht="18" hidden="1" customHeight="1" x14ac:dyDescent="0.2">
      <c r="A121" s="211"/>
      <c r="B121" s="211"/>
      <c r="C121" s="211"/>
      <c r="D121" s="211"/>
      <c r="E121" s="211"/>
      <c r="F121" s="211"/>
      <c r="G121" s="211"/>
      <c r="H121" s="211"/>
      <c r="I121" s="211">
        <v>2018</v>
      </c>
      <c r="J121" s="211">
        <v>0.47</v>
      </c>
      <c r="K121" s="209">
        <f>DATE(I121,8,31)</f>
        <v>43343</v>
      </c>
      <c r="L121" s="211"/>
      <c r="M121" s="211"/>
      <c r="N121" s="211"/>
      <c r="O121" s="211"/>
      <c r="P121" s="77"/>
    </row>
    <row r="122" spans="1:16" ht="18" hidden="1" customHeight="1" x14ac:dyDescent="0.2">
      <c r="A122" s="211"/>
      <c r="B122" s="211"/>
      <c r="C122" s="211"/>
      <c r="D122" s="211"/>
      <c r="E122" s="211"/>
      <c r="F122" s="211"/>
      <c r="G122" s="211"/>
      <c r="H122" s="211"/>
      <c r="I122" s="211">
        <v>2019</v>
      </c>
      <c r="J122" s="211">
        <v>0.49</v>
      </c>
      <c r="K122" s="209">
        <f t="shared" ref="K122:K135" si="9">DATE(I122,8,31)</f>
        <v>43708</v>
      </c>
      <c r="L122" s="211"/>
      <c r="M122" s="211"/>
      <c r="N122" s="211"/>
      <c r="O122" s="211"/>
      <c r="P122" s="77"/>
    </row>
    <row r="123" spans="1:16" ht="18" hidden="1" customHeight="1" x14ac:dyDescent="0.2">
      <c r="A123" s="211"/>
      <c r="B123" s="211"/>
      <c r="C123" s="211"/>
      <c r="D123" s="211"/>
      <c r="E123" s="211"/>
      <c r="F123" s="211"/>
      <c r="G123" s="211"/>
      <c r="H123" s="211"/>
      <c r="I123" s="211">
        <v>2020</v>
      </c>
      <c r="J123" s="211">
        <v>0.495</v>
      </c>
      <c r="K123" s="209">
        <f t="shared" si="9"/>
        <v>44074</v>
      </c>
      <c r="L123" s="211"/>
      <c r="M123" s="211"/>
      <c r="N123" s="211"/>
      <c r="O123" s="211"/>
      <c r="P123" s="77"/>
    </row>
    <row r="124" spans="1:16" ht="18" hidden="1" customHeight="1" x14ac:dyDescent="0.2">
      <c r="A124" s="211"/>
      <c r="B124" s="211"/>
      <c r="C124" s="211"/>
      <c r="D124" s="211"/>
      <c r="E124" s="211"/>
      <c r="F124" s="211"/>
      <c r="G124" s="211"/>
      <c r="H124" s="211"/>
      <c r="I124" s="211">
        <v>2021</v>
      </c>
      <c r="J124" s="211">
        <v>0.5</v>
      </c>
      <c r="K124" s="209">
        <f t="shared" si="9"/>
        <v>44439</v>
      </c>
      <c r="L124" s="211"/>
      <c r="M124" s="211"/>
      <c r="N124" s="211"/>
      <c r="O124" s="211"/>
      <c r="P124" s="77"/>
    </row>
    <row r="125" spans="1:16" ht="18" hidden="1" customHeight="1" x14ac:dyDescent="0.2">
      <c r="A125" s="211"/>
      <c r="B125" s="211"/>
      <c r="C125" s="211"/>
      <c r="D125" s="211"/>
      <c r="E125" s="211"/>
      <c r="F125" s="211"/>
      <c r="G125" s="211"/>
      <c r="H125" s="211"/>
      <c r="I125" s="211">
        <v>2022</v>
      </c>
      <c r="J125" s="211">
        <v>0.5</v>
      </c>
      <c r="K125" s="209">
        <f t="shared" si="9"/>
        <v>44804</v>
      </c>
      <c r="L125" s="211"/>
      <c r="M125" s="211"/>
      <c r="N125" s="211"/>
      <c r="O125" s="211"/>
      <c r="P125" s="77"/>
    </row>
    <row r="126" spans="1:16" ht="18" hidden="1" customHeight="1" x14ac:dyDescent="0.2">
      <c r="A126" s="211"/>
      <c r="B126" s="211"/>
      <c r="C126" s="211"/>
      <c r="D126" s="211"/>
      <c r="E126" s="211"/>
      <c r="F126" s="211"/>
      <c r="G126" s="211"/>
      <c r="H126" s="211"/>
      <c r="I126" s="211">
        <v>2023</v>
      </c>
      <c r="J126" s="211">
        <v>0.5</v>
      </c>
      <c r="K126" s="209">
        <f t="shared" si="9"/>
        <v>45169</v>
      </c>
      <c r="L126" s="211"/>
      <c r="M126" s="211"/>
      <c r="N126" s="211"/>
      <c r="O126" s="211"/>
      <c r="P126" s="77"/>
    </row>
    <row r="127" spans="1:16" ht="18" hidden="1" customHeight="1" x14ac:dyDescent="0.2">
      <c r="A127" s="211"/>
      <c r="B127" s="211"/>
      <c r="C127" s="211"/>
      <c r="D127" s="211"/>
      <c r="E127" s="211"/>
      <c r="F127" s="211"/>
      <c r="G127" s="211"/>
      <c r="H127" s="211"/>
      <c r="I127" s="211">
        <v>2024</v>
      </c>
      <c r="J127" s="211">
        <v>0.5</v>
      </c>
      <c r="K127" s="209">
        <f t="shared" si="9"/>
        <v>45535</v>
      </c>
      <c r="L127" s="211"/>
      <c r="M127" s="211"/>
      <c r="N127" s="211"/>
      <c r="O127" s="211"/>
      <c r="P127" s="77"/>
    </row>
    <row r="128" spans="1:16" ht="18" hidden="1" customHeight="1" x14ac:dyDescent="0.2">
      <c r="A128" s="211"/>
      <c r="B128" s="211"/>
      <c r="C128" s="211"/>
      <c r="D128" s="211"/>
      <c r="E128" s="211"/>
      <c r="F128" s="211"/>
      <c r="G128" s="211"/>
      <c r="H128" s="211"/>
      <c r="I128" s="211">
        <v>2025</v>
      </c>
      <c r="J128" s="211">
        <v>0.5</v>
      </c>
      <c r="K128" s="209">
        <f t="shared" si="9"/>
        <v>45900</v>
      </c>
      <c r="L128" s="211"/>
      <c r="M128" s="211"/>
      <c r="N128" s="211"/>
      <c r="O128" s="211"/>
      <c r="P128" s="77"/>
    </row>
    <row r="129" spans="1:16" ht="18" hidden="1" customHeight="1" x14ac:dyDescent="0.2">
      <c r="A129" s="211"/>
      <c r="B129" s="211"/>
      <c r="C129" s="211"/>
      <c r="D129" s="211"/>
      <c r="E129" s="211"/>
      <c r="F129" s="211"/>
      <c r="G129" s="211"/>
      <c r="H129" s="211"/>
      <c r="I129" s="211">
        <v>2026</v>
      </c>
      <c r="J129" s="211">
        <v>0.5</v>
      </c>
      <c r="K129" s="209">
        <f t="shared" si="9"/>
        <v>46265</v>
      </c>
      <c r="L129" s="211"/>
      <c r="M129" s="211"/>
      <c r="N129" s="211"/>
      <c r="O129" s="211"/>
      <c r="P129" s="77"/>
    </row>
    <row r="130" spans="1:16" ht="18" hidden="1" customHeight="1" x14ac:dyDescent="0.2">
      <c r="A130" s="211"/>
      <c r="B130" s="211"/>
      <c r="C130" s="211"/>
      <c r="D130" s="211"/>
      <c r="E130" s="211"/>
      <c r="F130" s="211"/>
      <c r="G130" s="211"/>
      <c r="H130" s="211"/>
      <c r="I130" s="211">
        <v>2027</v>
      </c>
      <c r="J130" s="211">
        <v>0.5</v>
      </c>
      <c r="K130" s="209">
        <f t="shared" si="9"/>
        <v>46630</v>
      </c>
      <c r="L130" s="211"/>
      <c r="M130" s="211"/>
      <c r="N130" s="211"/>
      <c r="O130" s="211"/>
      <c r="P130" s="77"/>
    </row>
    <row r="131" spans="1:16" ht="18" hidden="1" customHeight="1" x14ac:dyDescent="0.2">
      <c r="A131" s="211"/>
      <c r="B131" s="211"/>
      <c r="C131" s="211"/>
      <c r="D131" s="211"/>
      <c r="E131" s="211"/>
      <c r="F131" s="211"/>
      <c r="G131" s="211"/>
      <c r="H131" s="211"/>
      <c r="I131" s="211">
        <v>2028</v>
      </c>
      <c r="J131" s="211">
        <v>0.5</v>
      </c>
      <c r="K131" s="209">
        <f t="shared" si="9"/>
        <v>46996</v>
      </c>
      <c r="L131" s="211"/>
      <c r="M131" s="211"/>
      <c r="N131" s="211"/>
      <c r="O131" s="211"/>
      <c r="P131" s="77"/>
    </row>
    <row r="132" spans="1:16" ht="18" hidden="1" customHeight="1" x14ac:dyDescent="0.2">
      <c r="A132" s="211"/>
      <c r="B132" s="211"/>
      <c r="C132" s="211"/>
      <c r="D132" s="211"/>
      <c r="E132" s="211"/>
      <c r="F132" s="211"/>
      <c r="G132" s="211"/>
      <c r="H132" s="211"/>
      <c r="I132" s="211">
        <v>2029</v>
      </c>
      <c r="J132" s="211">
        <v>0.5</v>
      </c>
      <c r="K132" s="209">
        <f t="shared" si="9"/>
        <v>47361</v>
      </c>
      <c r="L132" s="211"/>
      <c r="M132" s="211"/>
      <c r="N132" s="211"/>
      <c r="O132" s="211"/>
      <c r="P132" s="77"/>
    </row>
    <row r="133" spans="1:16" ht="18" hidden="1" customHeight="1" x14ac:dyDescent="0.2">
      <c r="A133" s="211"/>
      <c r="B133" s="211"/>
      <c r="C133" s="211"/>
      <c r="D133" s="211"/>
      <c r="E133" s="211"/>
      <c r="F133" s="211"/>
      <c r="G133" s="211"/>
      <c r="H133" s="211"/>
      <c r="I133" s="211">
        <v>2030</v>
      </c>
      <c r="J133" s="211">
        <v>0.5</v>
      </c>
      <c r="K133" s="209">
        <f t="shared" si="9"/>
        <v>47726</v>
      </c>
      <c r="L133" s="211"/>
      <c r="M133" s="211"/>
      <c r="N133" s="211"/>
      <c r="O133" s="211"/>
      <c r="P133" s="77"/>
    </row>
    <row r="134" spans="1:16" ht="18" hidden="1" customHeight="1" x14ac:dyDescent="0.2">
      <c r="A134" s="211"/>
      <c r="B134" s="211"/>
      <c r="C134" s="211"/>
      <c r="D134" s="211"/>
      <c r="E134" s="211"/>
      <c r="F134" s="211"/>
      <c r="G134" s="211"/>
      <c r="H134" s="211"/>
      <c r="I134" s="211">
        <v>2031</v>
      </c>
      <c r="J134" s="211">
        <v>0.5</v>
      </c>
      <c r="K134" s="209">
        <f t="shared" si="9"/>
        <v>48091</v>
      </c>
      <c r="L134" s="211"/>
      <c r="M134" s="211"/>
      <c r="N134" s="211"/>
      <c r="O134" s="211"/>
      <c r="P134" s="77"/>
    </row>
    <row r="135" spans="1:16" ht="18" hidden="1" customHeight="1" x14ac:dyDescent="0.2">
      <c r="A135" s="211"/>
      <c r="B135" s="211"/>
      <c r="C135" s="211"/>
      <c r="D135" s="211"/>
      <c r="E135" s="211"/>
      <c r="F135" s="211"/>
      <c r="G135" s="211"/>
      <c r="H135" s="211"/>
      <c r="I135" s="211">
        <v>2032</v>
      </c>
      <c r="J135" s="211">
        <v>0.5</v>
      </c>
      <c r="K135" s="209">
        <f t="shared" si="9"/>
        <v>48457</v>
      </c>
      <c r="L135" s="211"/>
      <c r="M135" s="211"/>
      <c r="N135" s="211"/>
      <c r="O135" s="211"/>
      <c r="P135" s="77"/>
    </row>
    <row r="136" spans="1:16" ht="18" customHeight="1" thickBot="1" x14ac:dyDescent="0.25">
      <c r="A136" s="211"/>
      <c r="B136" s="211"/>
      <c r="C136" s="211"/>
      <c r="D136" s="211"/>
      <c r="E136" s="211"/>
      <c r="F136" s="211"/>
      <c r="G136" s="211"/>
      <c r="H136" s="211"/>
      <c r="I136" s="211"/>
      <c r="J136" s="211"/>
      <c r="K136" s="211"/>
      <c r="L136" s="211"/>
      <c r="M136" s="211"/>
      <c r="N136" s="211"/>
      <c r="O136" s="211"/>
      <c r="P136" s="77"/>
    </row>
    <row r="137" spans="1:16" ht="13.5" customHeight="1" x14ac:dyDescent="0.2">
      <c r="A137" s="361" t="s">
        <v>63</v>
      </c>
      <c r="B137" s="425" t="s">
        <v>78</v>
      </c>
      <c r="C137" s="426"/>
      <c r="D137" s="426"/>
      <c r="E137" s="426"/>
      <c r="F137" s="427"/>
      <c r="G137" s="437" t="s">
        <v>43</v>
      </c>
      <c r="H137" s="438"/>
      <c r="I137" s="438"/>
      <c r="J137" s="438"/>
      <c r="K137" s="439"/>
      <c r="L137" s="428" t="s">
        <v>79</v>
      </c>
      <c r="M137" s="429"/>
      <c r="N137" s="430"/>
      <c r="O137" s="23" t="e">
        <f>O148-H118</f>
        <v>#REF!</v>
      </c>
      <c r="P137" s="79"/>
    </row>
    <row r="138" spans="1:16" ht="13.5" customHeight="1" x14ac:dyDescent="0.2">
      <c r="A138" s="362"/>
      <c r="B138" s="431" t="s">
        <v>37</v>
      </c>
      <c r="C138" s="432"/>
      <c r="D138" s="432"/>
      <c r="E138" s="432"/>
      <c r="F138" s="433"/>
      <c r="G138" s="440"/>
      <c r="H138" s="441"/>
      <c r="I138" s="441"/>
      <c r="J138" s="441"/>
      <c r="K138" s="442"/>
      <c r="L138" s="434" t="s">
        <v>19</v>
      </c>
      <c r="M138" s="435"/>
      <c r="N138" s="436"/>
      <c r="O138" s="24">
        <f>H118</f>
        <v>0</v>
      </c>
      <c r="P138" s="79"/>
    </row>
    <row r="139" spans="1:16" ht="13.5" customHeight="1" x14ac:dyDescent="0.2">
      <c r="A139" s="362"/>
      <c r="B139" s="210"/>
      <c r="C139" s="208" t="s">
        <v>226</v>
      </c>
      <c r="D139" s="208"/>
      <c r="E139" s="208"/>
      <c r="F139" s="205">
        <v>0.47</v>
      </c>
      <c r="G139" s="440"/>
      <c r="H139" s="441"/>
      <c r="I139" s="441"/>
      <c r="J139" s="441"/>
      <c r="K139" s="442"/>
      <c r="L139" s="418" t="s">
        <v>40</v>
      </c>
      <c r="M139" s="419"/>
      <c r="N139" s="420"/>
      <c r="O139" s="25" t="e">
        <f>O148-O83-O79-O88-O96+K118</f>
        <v>#REF!</v>
      </c>
      <c r="P139" s="79"/>
    </row>
    <row r="140" spans="1:16" ht="13.5" customHeight="1" x14ac:dyDescent="0.3">
      <c r="A140" s="362"/>
      <c r="B140" s="210"/>
      <c r="C140" s="208" t="s">
        <v>221</v>
      </c>
      <c r="D140" s="208"/>
      <c r="E140" s="208"/>
      <c r="F140" s="205">
        <v>0.49</v>
      </c>
      <c r="G140" s="440"/>
      <c r="H140" s="441"/>
      <c r="I140" s="441"/>
      <c r="J140" s="441"/>
      <c r="K140" s="442"/>
      <c r="L140" s="199" t="s">
        <v>217</v>
      </c>
      <c r="M140" s="202" t="e">
        <f>VLOOKUP($G$120,$I$121:$J$135,2,FALSE)</f>
        <v>#REF!</v>
      </c>
      <c r="N140" s="203" t="s">
        <v>224</v>
      </c>
      <c r="O140" s="25" t="e">
        <f>IF($L$7-VLOOKUP($G$120,$I$121:$K$135,3,FALSE)&lt;0,$O$139,ROUND((1-($L$7-VLOOKUP($G$120,$I$121:$K$135,3,FALSE))/($L$7+1-$L$5))*$O$139,0))</f>
        <v>#REF!</v>
      </c>
      <c r="P140" s="80"/>
    </row>
    <row r="141" spans="1:16" ht="13.5" customHeight="1" x14ac:dyDescent="0.3">
      <c r="A141" s="362"/>
      <c r="B141" s="210"/>
      <c r="C141" s="208" t="s">
        <v>222</v>
      </c>
      <c r="D141" s="208"/>
      <c r="E141" s="208"/>
      <c r="F141" s="206">
        <v>0.495</v>
      </c>
      <c r="G141" s="440"/>
      <c r="H141" s="441"/>
      <c r="I141" s="441"/>
      <c r="J141" s="441"/>
      <c r="K141" s="442"/>
      <c r="L141" s="200" t="s">
        <v>218</v>
      </c>
      <c r="M141" s="202" t="e">
        <f>VLOOKUP($G$120+1,$I$121:$J$135,2,FALSE)</f>
        <v>#REF!</v>
      </c>
      <c r="N141" s="203" t="s">
        <v>225</v>
      </c>
      <c r="O141" s="25" t="e">
        <f>O139-O140</f>
        <v>#REF!</v>
      </c>
      <c r="P141" s="80"/>
    </row>
    <row r="142" spans="1:16" ht="13.5" customHeight="1" x14ac:dyDescent="0.3">
      <c r="A142" s="362"/>
      <c r="B142" s="207"/>
      <c r="C142" s="208" t="s">
        <v>223</v>
      </c>
      <c r="D142" s="208"/>
      <c r="E142" s="208"/>
      <c r="F142" s="205">
        <v>0.5</v>
      </c>
      <c r="G142" s="440"/>
      <c r="H142" s="441"/>
      <c r="I142" s="441"/>
      <c r="J142" s="441"/>
      <c r="K142" s="442"/>
      <c r="L142" s="446" t="s">
        <v>219</v>
      </c>
      <c r="M142" s="447"/>
      <c r="N142" s="448"/>
      <c r="O142" s="201" t="e">
        <f>ROUND(M140*O140,0)</f>
        <v>#REF!</v>
      </c>
      <c r="P142" s="80"/>
    </row>
    <row r="143" spans="1:16" ht="13.5" customHeight="1" x14ac:dyDescent="0.3">
      <c r="A143" s="362"/>
      <c r="B143" s="207"/>
      <c r="C143" s="208" t="s">
        <v>231</v>
      </c>
      <c r="D143" s="208"/>
      <c r="E143" s="208"/>
      <c r="F143" s="205">
        <v>0.5</v>
      </c>
      <c r="G143" s="443"/>
      <c r="H143" s="444"/>
      <c r="I143" s="444"/>
      <c r="J143" s="444"/>
      <c r="K143" s="445"/>
      <c r="L143" s="449" t="s">
        <v>220</v>
      </c>
      <c r="M143" s="450"/>
      <c r="N143" s="451"/>
      <c r="O143" s="204" t="e">
        <f>ROUND(M141*O141,0)</f>
        <v>#REF!</v>
      </c>
      <c r="P143" s="80"/>
    </row>
    <row r="144" spans="1:16" ht="13.5" customHeight="1" x14ac:dyDescent="0.2">
      <c r="A144" s="362"/>
      <c r="B144" s="207"/>
      <c r="C144" s="213" t="s">
        <v>232</v>
      </c>
      <c r="D144" s="208"/>
      <c r="E144" s="208"/>
      <c r="F144" s="205">
        <v>0.36</v>
      </c>
      <c r="G144" s="452" t="s">
        <v>175</v>
      </c>
      <c r="H144" s="453"/>
      <c r="I144" s="453"/>
      <c r="J144" s="453"/>
      <c r="K144" s="453"/>
      <c r="L144" s="453"/>
      <c r="M144" s="453"/>
      <c r="N144" s="453"/>
      <c r="O144" s="454"/>
      <c r="P144" s="65"/>
    </row>
    <row r="145" spans="1:17" ht="13.5" customHeight="1" x14ac:dyDescent="0.2">
      <c r="A145" s="362"/>
      <c r="B145" s="431" t="s">
        <v>36</v>
      </c>
      <c r="C145" s="432"/>
      <c r="D145" s="432"/>
      <c r="E145" s="432"/>
      <c r="F145" s="433"/>
      <c r="G145" s="455"/>
      <c r="H145" s="456"/>
      <c r="I145" s="456"/>
      <c r="J145" s="456"/>
      <c r="K145" s="456"/>
      <c r="L145" s="456"/>
      <c r="M145" s="456"/>
      <c r="N145" s="456"/>
      <c r="O145" s="457"/>
      <c r="P145" s="65"/>
    </row>
    <row r="146" spans="1:17" ht="14.25" customHeight="1" thickBot="1" x14ac:dyDescent="0.25">
      <c r="A146" s="363"/>
      <c r="B146" s="207"/>
      <c r="C146" s="208" t="s">
        <v>233</v>
      </c>
      <c r="D146" s="208"/>
      <c r="E146" s="208"/>
      <c r="F146" s="205">
        <v>0.26</v>
      </c>
      <c r="G146" s="458"/>
      <c r="H146" s="459"/>
      <c r="I146" s="459"/>
      <c r="J146" s="459"/>
      <c r="K146" s="459"/>
      <c r="L146" s="459"/>
      <c r="M146" s="459"/>
      <c r="N146" s="459"/>
      <c r="O146" s="460"/>
      <c r="P146" s="65"/>
    </row>
    <row r="147" spans="1:17" ht="18" customHeight="1" thickBot="1" x14ac:dyDescent="0.25">
      <c r="A147" s="295"/>
      <c r="B147" s="295"/>
      <c r="C147" s="295"/>
      <c r="D147" s="295"/>
      <c r="E147" s="295"/>
      <c r="F147" s="295"/>
      <c r="G147" s="295"/>
      <c r="H147" s="295"/>
      <c r="I147" s="295"/>
      <c r="J147" s="295"/>
      <c r="K147" s="295"/>
      <c r="L147" s="295"/>
      <c r="M147" s="295"/>
      <c r="N147" s="295"/>
      <c r="O147" s="295"/>
      <c r="P147" s="77"/>
    </row>
    <row r="148" spans="1:17" ht="17.100000000000001" customHeight="1" x14ac:dyDescent="0.25">
      <c r="A148" s="296" t="s">
        <v>45</v>
      </c>
      <c r="B148" s="297"/>
      <c r="C148" s="302" t="s">
        <v>23</v>
      </c>
      <c r="D148" s="303"/>
      <c r="E148" s="303"/>
      <c r="F148" s="306"/>
      <c r="G148" s="307"/>
      <c r="H148" s="29"/>
      <c r="I148" s="310" t="s">
        <v>62</v>
      </c>
      <c r="J148" s="313" t="str">
        <f>K3</f>
        <v>Period 9</v>
      </c>
      <c r="K148" s="412" t="s">
        <v>61</v>
      </c>
      <c r="L148" s="413"/>
      <c r="M148" s="413"/>
      <c r="N148" s="414"/>
      <c r="O148" s="26" t="e">
        <f>O35+O79+O64+O83+O67+O96+O88</f>
        <v>#REF!</v>
      </c>
      <c r="P148" s="81"/>
    </row>
    <row r="149" spans="1:17" ht="17.100000000000001" customHeight="1" x14ac:dyDescent="0.25">
      <c r="A149" s="298"/>
      <c r="B149" s="299"/>
      <c r="C149" s="304"/>
      <c r="D149" s="305"/>
      <c r="E149" s="305"/>
      <c r="F149" s="308"/>
      <c r="G149" s="309"/>
      <c r="H149" s="30"/>
      <c r="I149" s="311"/>
      <c r="J149" s="314"/>
      <c r="K149" s="415" t="s">
        <v>186</v>
      </c>
      <c r="L149" s="416"/>
      <c r="M149" s="416"/>
      <c r="N149" s="417"/>
      <c r="O149" s="27" t="e">
        <f>O142+O143</f>
        <v>#REF!</v>
      </c>
      <c r="P149" s="81"/>
      <c r="Q149" s="55"/>
    </row>
    <row r="150" spans="1:17" ht="17.100000000000001" customHeight="1" thickBot="1" x14ac:dyDescent="0.3">
      <c r="A150" s="300"/>
      <c r="B150" s="301"/>
      <c r="C150" s="316" t="s">
        <v>22</v>
      </c>
      <c r="D150" s="317"/>
      <c r="E150" s="318"/>
      <c r="F150" s="319" t="e">
        <f>IF(O151&lt;&gt;0,F148/O151,"-")</f>
        <v>#REF!</v>
      </c>
      <c r="G150" s="320"/>
      <c r="H150" s="29"/>
      <c r="I150" s="311"/>
      <c r="J150" s="314"/>
      <c r="K150" s="321" t="s">
        <v>46</v>
      </c>
      <c r="L150" s="322"/>
      <c r="M150" s="322"/>
      <c r="N150" s="323"/>
      <c r="O150" s="27" t="e">
        <f>O148+O149</f>
        <v>#REF!</v>
      </c>
      <c r="P150" s="81"/>
    </row>
    <row r="151" spans="1:17" ht="17.100000000000001" customHeight="1" thickBot="1" x14ac:dyDescent="0.3">
      <c r="A151" s="324"/>
      <c r="B151" s="324"/>
      <c r="C151" s="324"/>
      <c r="D151" s="324"/>
      <c r="E151" s="324"/>
      <c r="F151" s="324"/>
      <c r="G151" s="324"/>
      <c r="H151" s="325"/>
      <c r="I151" s="312"/>
      <c r="J151" s="315"/>
      <c r="K151" s="326" t="s">
        <v>58</v>
      </c>
      <c r="L151" s="327"/>
      <c r="M151" s="327"/>
      <c r="N151" s="328"/>
      <c r="O151" s="28" t="e">
        <f>O150+F148</f>
        <v>#REF!</v>
      </c>
      <c r="P151" s="81"/>
    </row>
    <row r="159" spans="1:17" x14ac:dyDescent="0.2">
      <c r="Q159" s="55"/>
    </row>
  </sheetData>
  <sheetProtection insertRows="0"/>
  <mergeCells count="220">
    <mergeCell ref="B35:J35"/>
    <mergeCell ref="K35:L35"/>
    <mergeCell ref="K148:N148"/>
    <mergeCell ref="K149:N149"/>
    <mergeCell ref="L139:N139"/>
    <mergeCell ref="C118:E118"/>
    <mergeCell ref="F118:G118"/>
    <mergeCell ref="H118:I118"/>
    <mergeCell ref="A119:O119"/>
    <mergeCell ref="B137:F137"/>
    <mergeCell ref="L137:N137"/>
    <mergeCell ref="B138:F138"/>
    <mergeCell ref="L138:N138"/>
    <mergeCell ref="A137:A146"/>
    <mergeCell ref="G137:K143"/>
    <mergeCell ref="L142:N142"/>
    <mergeCell ref="L143:N143"/>
    <mergeCell ref="G144:O146"/>
    <mergeCell ref="B145:F145"/>
    <mergeCell ref="C116:E116"/>
    <mergeCell ref="F116:G116"/>
    <mergeCell ref="H116:I116"/>
    <mergeCell ref="N116:O116"/>
    <mergeCell ref="C117:E117"/>
    <mergeCell ref="F117:G117"/>
    <mergeCell ref="H117:I117"/>
    <mergeCell ref="N117:O117"/>
    <mergeCell ref="C114:E114"/>
    <mergeCell ref="F114:G114"/>
    <mergeCell ref="H114:I114"/>
    <mergeCell ref="N114:O114"/>
    <mergeCell ref="C115:E115"/>
    <mergeCell ref="F115:G115"/>
    <mergeCell ref="H115:I115"/>
    <mergeCell ref="N115:O115"/>
    <mergeCell ref="C112:E112"/>
    <mergeCell ref="F112:G112"/>
    <mergeCell ref="H112:I112"/>
    <mergeCell ref="N112:O112"/>
    <mergeCell ref="C113:E113"/>
    <mergeCell ref="F113:G113"/>
    <mergeCell ref="H113:I113"/>
    <mergeCell ref="N113:O113"/>
    <mergeCell ref="C110:E110"/>
    <mergeCell ref="F110:G110"/>
    <mergeCell ref="H110:I110"/>
    <mergeCell ref="N110:O110"/>
    <mergeCell ref="C111:E111"/>
    <mergeCell ref="F111:G111"/>
    <mergeCell ref="H111:I111"/>
    <mergeCell ref="N111:O111"/>
    <mergeCell ref="C108:E108"/>
    <mergeCell ref="F108:G108"/>
    <mergeCell ref="H108:I108"/>
    <mergeCell ref="N108:O108"/>
    <mergeCell ref="C109:E109"/>
    <mergeCell ref="F109:G109"/>
    <mergeCell ref="H109:I109"/>
    <mergeCell ref="N109:O109"/>
    <mergeCell ref="C106:E106"/>
    <mergeCell ref="F106:G106"/>
    <mergeCell ref="H106:I106"/>
    <mergeCell ref="N106:O106"/>
    <mergeCell ref="C107:E107"/>
    <mergeCell ref="F107:G107"/>
    <mergeCell ref="H107:I107"/>
    <mergeCell ref="N107:O107"/>
    <mergeCell ref="F104:G104"/>
    <mergeCell ref="H104:I104"/>
    <mergeCell ref="N104:O104"/>
    <mergeCell ref="C105:E105"/>
    <mergeCell ref="F105:G105"/>
    <mergeCell ref="H105:I105"/>
    <mergeCell ref="N105:O105"/>
    <mergeCell ref="C102:E102"/>
    <mergeCell ref="F102:G102"/>
    <mergeCell ref="H102:I102"/>
    <mergeCell ref="N102:O102"/>
    <mergeCell ref="C103:E103"/>
    <mergeCell ref="F103:G103"/>
    <mergeCell ref="H103:I103"/>
    <mergeCell ref="N103:O103"/>
    <mergeCell ref="B95:O95"/>
    <mergeCell ref="A96:A118"/>
    <mergeCell ref="B96:M96"/>
    <mergeCell ref="B97:B118"/>
    <mergeCell ref="F97:G97"/>
    <mergeCell ref="H97:I97"/>
    <mergeCell ref="C100:E100"/>
    <mergeCell ref="F100:G100"/>
    <mergeCell ref="H100:I100"/>
    <mergeCell ref="N100:O100"/>
    <mergeCell ref="C101:E101"/>
    <mergeCell ref="F101:G101"/>
    <mergeCell ref="H101:I101"/>
    <mergeCell ref="N101:O101"/>
    <mergeCell ref="N97:O97"/>
    <mergeCell ref="C98:E98"/>
    <mergeCell ref="F98:G98"/>
    <mergeCell ref="H98:I98"/>
    <mergeCell ref="N98:O98"/>
    <mergeCell ref="C99:E99"/>
    <mergeCell ref="F99:G99"/>
    <mergeCell ref="H99:I99"/>
    <mergeCell ref="N99:O99"/>
    <mergeCell ref="C104:E104"/>
    <mergeCell ref="B85:N85"/>
    <mergeCell ref="B86:N86"/>
    <mergeCell ref="B87:N87"/>
    <mergeCell ref="B88:M88"/>
    <mergeCell ref="B89:N89"/>
    <mergeCell ref="B90:N90"/>
    <mergeCell ref="B76:N76"/>
    <mergeCell ref="B77:N77"/>
    <mergeCell ref="A78:O78"/>
    <mergeCell ref="A79:A94"/>
    <mergeCell ref="B79:M79"/>
    <mergeCell ref="B80:N80"/>
    <mergeCell ref="B81:N81"/>
    <mergeCell ref="B82:N82"/>
    <mergeCell ref="B83:M83"/>
    <mergeCell ref="B84:N84"/>
    <mergeCell ref="B91:N91"/>
    <mergeCell ref="B92:N92"/>
    <mergeCell ref="B93:N93"/>
    <mergeCell ref="B94:N94"/>
    <mergeCell ref="B68:N68"/>
    <mergeCell ref="B69:N69"/>
    <mergeCell ref="B70:N70"/>
    <mergeCell ref="B71:N71"/>
    <mergeCell ref="B74:N74"/>
    <mergeCell ref="B75:N75"/>
    <mergeCell ref="B64:M64"/>
    <mergeCell ref="B65:N65"/>
    <mergeCell ref="B66:N66"/>
    <mergeCell ref="B67:M67"/>
    <mergeCell ref="B61:C61"/>
    <mergeCell ref="G61:H61"/>
    <mergeCell ref="B62:C62"/>
    <mergeCell ref="G62:H62"/>
    <mergeCell ref="B63:C63"/>
    <mergeCell ref="G63:H63"/>
    <mergeCell ref="B58:C58"/>
    <mergeCell ref="G58:H58"/>
    <mergeCell ref="B59:C59"/>
    <mergeCell ref="G59:H59"/>
    <mergeCell ref="B60:C60"/>
    <mergeCell ref="G60:H60"/>
    <mergeCell ref="B55:C55"/>
    <mergeCell ref="G55:H55"/>
    <mergeCell ref="B56:C56"/>
    <mergeCell ref="G56:H56"/>
    <mergeCell ref="B57:C57"/>
    <mergeCell ref="G57:H57"/>
    <mergeCell ref="B52:C52"/>
    <mergeCell ref="G52:H52"/>
    <mergeCell ref="B53:C53"/>
    <mergeCell ref="G53:H53"/>
    <mergeCell ref="B54:C54"/>
    <mergeCell ref="G54:H54"/>
    <mergeCell ref="B50:C50"/>
    <mergeCell ref="G50:H50"/>
    <mergeCell ref="B51:C51"/>
    <mergeCell ref="G51:H51"/>
    <mergeCell ref="B46:C46"/>
    <mergeCell ref="G46:H46"/>
    <mergeCell ref="B47:C47"/>
    <mergeCell ref="G47:H47"/>
    <mergeCell ref="B48:C48"/>
    <mergeCell ref="G48:H48"/>
    <mergeCell ref="A34:O34"/>
    <mergeCell ref="A35:A77"/>
    <mergeCell ref="B36:C36"/>
    <mergeCell ref="G36:H36"/>
    <mergeCell ref="B37:C37"/>
    <mergeCell ref="G37:H37"/>
    <mergeCell ref="B38:C38"/>
    <mergeCell ref="G38:H38"/>
    <mergeCell ref="B39:C39"/>
    <mergeCell ref="B43:C43"/>
    <mergeCell ref="G43:H43"/>
    <mergeCell ref="B44:C44"/>
    <mergeCell ref="G44:H44"/>
    <mergeCell ref="B45:C45"/>
    <mergeCell ref="G45:H45"/>
    <mergeCell ref="G39:H39"/>
    <mergeCell ref="B40:C40"/>
    <mergeCell ref="G40:H40"/>
    <mergeCell ref="B41:C41"/>
    <mergeCell ref="G41:H41"/>
    <mergeCell ref="B42:C42"/>
    <mergeCell ref="G42:H42"/>
    <mergeCell ref="B49:C49"/>
    <mergeCell ref="G49:H49"/>
    <mergeCell ref="A5:C6"/>
    <mergeCell ref="D5:F6"/>
    <mergeCell ref="K5:K6"/>
    <mergeCell ref="L5:L6"/>
    <mergeCell ref="A7:C9"/>
    <mergeCell ref="D7:F9"/>
    <mergeCell ref="K7:K8"/>
    <mergeCell ref="L7:L8"/>
    <mergeCell ref="A1:O1"/>
    <mergeCell ref="A2:O2"/>
    <mergeCell ref="A3:C4"/>
    <mergeCell ref="D3:F4"/>
    <mergeCell ref="K3:L4"/>
    <mergeCell ref="M3:O3"/>
    <mergeCell ref="M4:O4"/>
    <mergeCell ref="A147:O147"/>
    <mergeCell ref="A148:B150"/>
    <mergeCell ref="C148:E149"/>
    <mergeCell ref="F148:G149"/>
    <mergeCell ref="I148:I151"/>
    <mergeCell ref="J148:J151"/>
    <mergeCell ref="C150:E150"/>
    <mergeCell ref="F150:G150"/>
    <mergeCell ref="K150:N150"/>
    <mergeCell ref="A151:H151"/>
    <mergeCell ref="K151:N151"/>
  </mergeCells>
  <conditionalFormatting sqref="J37:J63">
    <cfRule type="expression" dxfId="1" priority="1">
      <formula>E37&lt;&gt;"Hourly"</formula>
    </cfRule>
  </conditionalFormatting>
  <dataValidations count="2">
    <dataValidation type="list" allowBlank="1" showInputMessage="1" showErrorMessage="1" sqref="E37:E63" xr:uid="{00000000-0002-0000-0400-000000000000}">
      <formula1>$B$11:$B$16</formula1>
    </dataValidation>
    <dataValidation type="list" allowBlank="1" showInputMessage="1" showErrorMessage="1" sqref="F37:F63" xr:uid="{00000000-0002-0000-0400-000001000000}">
      <formula1>INDIRECT(E37)</formula1>
    </dataValidation>
  </dataValidations>
  <printOptions horizontalCentered="1" verticalCentered="1"/>
  <pageMargins left="0.25" right="0.25" top="0.5" bottom="0.5" header="0" footer="0"/>
  <pageSetup scale="65" orientation="portrait" r:id="rId1"/>
  <headerFooter alignWithMargins="0">
    <oddFooter xml:space="preserve">&amp;R&amp;K000000
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59"/>
  <sheetViews>
    <sheetView topLeftCell="A88" zoomScale="85" zoomScaleNormal="85" zoomScalePageLayoutView="85" workbookViewId="0">
      <selection activeCell="C144" sqref="C144"/>
    </sheetView>
  </sheetViews>
  <sheetFormatPr defaultColWidth="8.85546875" defaultRowHeight="12.75" x14ac:dyDescent="0.2"/>
  <cols>
    <col min="1" max="1" width="4.140625" style="1" customWidth="1"/>
    <col min="2" max="2" width="4.28515625" style="1" customWidth="1"/>
    <col min="3" max="3" width="13.28515625" style="1" customWidth="1"/>
    <col min="4" max="4" width="7.42578125" style="1" customWidth="1"/>
    <col min="5" max="5" width="14.7109375" style="1" customWidth="1"/>
    <col min="6" max="6" width="10.42578125" style="1" customWidth="1"/>
    <col min="7" max="7" width="6.42578125" style="1" customWidth="1"/>
    <col min="8" max="8" width="6.28515625" style="1" customWidth="1"/>
    <col min="9" max="9" width="8.7109375" style="1" customWidth="1"/>
    <col min="10" max="10" width="11.7109375" style="2" customWidth="1"/>
    <col min="11" max="11" width="13" style="2" customWidth="1"/>
    <col min="12" max="13" width="12.85546875" style="1" customWidth="1"/>
    <col min="14" max="14" width="12.42578125" style="1" customWidth="1"/>
    <col min="15" max="15" width="17.140625" style="1" customWidth="1"/>
    <col min="16" max="16" width="12" style="1" customWidth="1"/>
    <col min="17" max="17" width="35.42578125" style="1" customWidth="1"/>
    <col min="18" max="18" width="14.28515625" style="1" customWidth="1"/>
    <col min="19" max="16384" width="8.85546875" style="1"/>
  </cols>
  <sheetData>
    <row r="1" spans="1:18" s="4" customFormat="1" ht="21.95" customHeight="1" x14ac:dyDescent="0.2">
      <c r="A1" s="342" t="s">
        <v>11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67"/>
    </row>
    <row r="2" spans="1:18" s="4" customFormat="1" ht="21.95" customHeight="1" thickBot="1" x14ac:dyDescent="0.25">
      <c r="A2" s="343" t="s">
        <v>10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68"/>
    </row>
    <row r="3" spans="1:18" s="4" customFormat="1" ht="12" customHeight="1" x14ac:dyDescent="0.25">
      <c r="A3" s="344" t="s">
        <v>176</v>
      </c>
      <c r="B3" s="345"/>
      <c r="C3" s="345"/>
      <c r="D3" s="348" t="e">
        <f>'Per9'!D3</f>
        <v>#REF!</v>
      </c>
      <c r="E3" s="348"/>
      <c r="F3" s="348"/>
      <c r="G3" s="56"/>
      <c r="H3" s="148"/>
      <c r="I3" s="148"/>
      <c r="J3" s="148"/>
      <c r="K3" s="350" t="s">
        <v>204</v>
      </c>
      <c r="L3" s="351"/>
      <c r="M3" s="354" t="s">
        <v>216</v>
      </c>
      <c r="N3" s="355"/>
      <c r="O3" s="356"/>
      <c r="P3" s="69"/>
      <c r="Q3" s="198" t="s">
        <v>243</v>
      </c>
    </row>
    <row r="4" spans="1:18" ht="12" customHeight="1" thickBot="1" x14ac:dyDescent="0.3">
      <c r="A4" s="346"/>
      <c r="B4" s="347"/>
      <c r="C4" s="347"/>
      <c r="D4" s="349"/>
      <c r="E4" s="349"/>
      <c r="F4" s="349"/>
      <c r="G4" s="152"/>
      <c r="H4" s="149"/>
      <c r="I4" s="149"/>
      <c r="J4" s="149"/>
      <c r="K4" s="352"/>
      <c r="L4" s="353"/>
      <c r="M4" s="357" t="s">
        <v>238</v>
      </c>
      <c r="N4" s="358"/>
      <c r="O4" s="359"/>
      <c r="P4" s="70"/>
    </row>
    <row r="5" spans="1:18" ht="12" customHeight="1" thickBot="1" x14ac:dyDescent="0.3">
      <c r="A5" s="329" t="s">
        <v>14</v>
      </c>
      <c r="B5" s="330"/>
      <c r="C5" s="330"/>
      <c r="D5" s="331" t="e">
        <f>'Per9'!D5</f>
        <v>#REF!</v>
      </c>
      <c r="E5" s="331"/>
      <c r="F5" s="331"/>
      <c r="G5" s="119"/>
      <c r="H5" s="120"/>
      <c r="I5" s="120"/>
      <c r="J5" s="101"/>
      <c r="K5" s="333" t="s">
        <v>12</v>
      </c>
      <c r="L5" s="334" t="e">
        <f>'Per9'!L7+1</f>
        <v>#REF!</v>
      </c>
      <c r="M5" s="34"/>
      <c r="N5" s="35" t="s">
        <v>8</v>
      </c>
      <c r="O5" s="36" t="s">
        <v>9</v>
      </c>
      <c r="P5" s="71"/>
      <c r="Q5" s="5"/>
      <c r="R5" s="5"/>
    </row>
    <row r="6" spans="1:18" ht="12" customHeight="1" thickTop="1" x14ac:dyDescent="0.25">
      <c r="A6" s="329"/>
      <c r="B6" s="330"/>
      <c r="C6" s="330"/>
      <c r="D6" s="332"/>
      <c r="E6" s="332"/>
      <c r="F6" s="332"/>
      <c r="G6" s="152"/>
      <c r="H6" s="120"/>
      <c r="I6" s="120"/>
      <c r="J6" s="101"/>
      <c r="K6" s="333"/>
      <c r="L6" s="335"/>
      <c r="M6" s="37" t="s">
        <v>2</v>
      </c>
      <c r="N6" s="196" t="e">
        <f>'Period 1'!#REF!</f>
        <v>#REF!</v>
      </c>
      <c r="O6" s="197" t="e">
        <f>'Period 1'!#REF!</f>
        <v>#REF!</v>
      </c>
      <c r="P6" s="72"/>
    </row>
    <row r="7" spans="1:18" ht="12" customHeight="1" x14ac:dyDescent="0.25">
      <c r="A7" s="329" t="s">
        <v>6</v>
      </c>
      <c r="B7" s="330"/>
      <c r="C7" s="330"/>
      <c r="D7" s="338" t="e">
        <f>'Per9'!D7</f>
        <v>#REF!</v>
      </c>
      <c r="E7" s="338"/>
      <c r="F7" s="338"/>
      <c r="G7" s="122"/>
      <c r="H7" s="121"/>
      <c r="I7" s="121"/>
      <c r="J7" s="101"/>
      <c r="K7" s="333" t="s">
        <v>13</v>
      </c>
      <c r="L7" s="341" t="e">
        <f>EDATE(L5,12)-1</f>
        <v>#REF!</v>
      </c>
      <c r="M7" s="38" t="s">
        <v>3</v>
      </c>
      <c r="N7" s="39">
        <f>'Period 1'!$L$7</f>
        <v>0</v>
      </c>
      <c r="O7" s="40">
        <f>'Period 1'!$M$7</f>
        <v>0</v>
      </c>
      <c r="P7" s="72"/>
    </row>
    <row r="8" spans="1:18" ht="12.75" customHeight="1" x14ac:dyDescent="0.25">
      <c r="A8" s="329"/>
      <c r="B8" s="330"/>
      <c r="C8" s="330"/>
      <c r="D8" s="339"/>
      <c r="E8" s="339"/>
      <c r="F8" s="339"/>
      <c r="G8" s="122"/>
      <c r="H8" s="121"/>
      <c r="I8" s="121"/>
      <c r="K8" s="333"/>
      <c r="L8" s="335"/>
      <c r="M8" s="38" t="s">
        <v>4</v>
      </c>
      <c r="N8" s="39">
        <f>'Period 1'!$K$8</f>
        <v>0</v>
      </c>
      <c r="O8" s="40">
        <f>'Period 1'!$M$8</f>
        <v>0</v>
      </c>
      <c r="P8" s="72"/>
    </row>
    <row r="9" spans="1:18" ht="12" customHeight="1" thickBot="1" x14ac:dyDescent="0.3">
      <c r="A9" s="336"/>
      <c r="B9" s="337"/>
      <c r="C9" s="337"/>
      <c r="D9" s="340"/>
      <c r="E9" s="340"/>
      <c r="F9" s="340"/>
      <c r="G9" s="123"/>
      <c r="H9" s="57"/>
      <c r="I9" s="153"/>
      <c r="J9" s="153"/>
      <c r="K9" s="153"/>
      <c r="L9" s="58"/>
      <c r="M9" s="41" t="s">
        <v>5</v>
      </c>
      <c r="N9" s="42">
        <f>'Period 1'!$L$9</f>
        <v>0</v>
      </c>
      <c r="O9" s="43">
        <f>'Period 1'!$M$9</f>
        <v>0</v>
      </c>
      <c r="P9" s="72"/>
    </row>
    <row r="10" spans="1:18" ht="13.5" hidden="1" thickBot="1" x14ac:dyDescent="0.25">
      <c r="B10" s="52"/>
      <c r="C10" s="52"/>
      <c r="D10" s="52"/>
      <c r="E10" s="89" t="s">
        <v>173</v>
      </c>
      <c r="F10" s="90" t="s">
        <v>66</v>
      </c>
      <c r="G10" s="90" t="s">
        <v>67</v>
      </c>
      <c r="H10" s="90" t="s">
        <v>68</v>
      </c>
      <c r="I10" s="90" t="s">
        <v>65</v>
      </c>
      <c r="J10" s="91" t="s">
        <v>71</v>
      </c>
      <c r="K10" s="52"/>
      <c r="L10" s="52"/>
      <c r="M10" s="52"/>
      <c r="N10" s="60" t="s">
        <v>26</v>
      </c>
      <c r="O10" s="61">
        <v>0</v>
      </c>
      <c r="P10" s="66"/>
    </row>
    <row r="11" spans="1:18" hidden="1" x14ac:dyDescent="0.2">
      <c r="B11" s="89" t="s">
        <v>173</v>
      </c>
      <c r="C11" s="91">
        <f>1/900</f>
        <v>1.1111111111111111E-3</v>
      </c>
      <c r="D11" s="191"/>
      <c r="E11" s="96" t="str">
        <f>N10</f>
        <v>Select One</v>
      </c>
      <c r="F11" s="52" t="str">
        <f>N10</f>
        <v>Select One</v>
      </c>
      <c r="G11" s="52" t="str">
        <f>N10</f>
        <v>Select One</v>
      </c>
      <c r="H11" s="52" t="str">
        <f>N10</f>
        <v>Select One</v>
      </c>
      <c r="I11" s="52" t="str">
        <f>N10</f>
        <v>Select One</v>
      </c>
      <c r="J11" s="93" t="str">
        <f>N10</f>
        <v>Select One</v>
      </c>
      <c r="K11" s="89" t="str">
        <f>B11&amp;M6</f>
        <v>FT_BE_09Emp/Family</v>
      </c>
      <c r="L11" s="99" t="e">
        <f>N6</f>
        <v>#REF!</v>
      </c>
      <c r="M11" s="100">
        <v>0.18</v>
      </c>
      <c r="N11" s="91">
        <v>100</v>
      </c>
      <c r="O11" s="52"/>
    </row>
    <row r="12" spans="1:18" hidden="1" x14ac:dyDescent="0.2">
      <c r="B12" s="92" t="s">
        <v>66</v>
      </c>
      <c r="C12" s="93">
        <f>1/1200</f>
        <v>8.3333333333333339E-4</v>
      </c>
      <c r="D12" s="191"/>
      <c r="E12" s="97" t="str">
        <f>M6</f>
        <v>Emp/Family</v>
      </c>
      <c r="F12" s="53" t="str">
        <f>M6</f>
        <v>Emp/Family</v>
      </c>
      <c r="G12" s="53" t="str">
        <f>M6</f>
        <v>Emp/Family</v>
      </c>
      <c r="H12" s="52" t="s">
        <v>69</v>
      </c>
      <c r="I12" s="52"/>
      <c r="J12" s="93" t="s">
        <v>69</v>
      </c>
      <c r="K12" s="92" t="str">
        <f>B11&amp;M7</f>
        <v>FT_BE_09Emp/Child</v>
      </c>
      <c r="L12" s="62">
        <f>N7</f>
        <v>0</v>
      </c>
      <c r="M12" s="63">
        <v>0.18</v>
      </c>
      <c r="N12" s="93">
        <v>100</v>
      </c>
      <c r="O12" s="52"/>
    </row>
    <row r="13" spans="1:18" hidden="1" x14ac:dyDescent="0.2">
      <c r="B13" s="92" t="s">
        <v>67</v>
      </c>
      <c r="C13" s="93">
        <f>1/1200</f>
        <v>8.3333333333333339E-4</v>
      </c>
      <c r="D13" s="191"/>
      <c r="E13" s="97" t="str">
        <f>M7</f>
        <v>Emp/Child</v>
      </c>
      <c r="F13" s="53" t="str">
        <f>M7</f>
        <v>Emp/Child</v>
      </c>
      <c r="G13" s="53" t="str">
        <f>M7</f>
        <v>Emp/Child</v>
      </c>
      <c r="H13" s="52"/>
      <c r="I13" s="52"/>
      <c r="J13" s="93"/>
      <c r="K13" s="92" t="str">
        <f>B11&amp;M8</f>
        <v>FT_BE_09Emp/Spouse</v>
      </c>
      <c r="L13" s="62">
        <f>N8</f>
        <v>0</v>
      </c>
      <c r="M13" s="63">
        <v>0.18</v>
      </c>
      <c r="N13" s="93">
        <v>100</v>
      </c>
      <c r="O13" s="52"/>
    </row>
    <row r="14" spans="1:18" hidden="1" x14ac:dyDescent="0.2">
      <c r="B14" s="92" t="s">
        <v>174</v>
      </c>
      <c r="C14" s="93">
        <f>1/1200</f>
        <v>8.3333333333333339E-4</v>
      </c>
      <c r="D14" s="191"/>
      <c r="E14" s="97" t="str">
        <f>M8</f>
        <v>Emp/Spouse</v>
      </c>
      <c r="F14" s="53" t="str">
        <f>M8</f>
        <v>Emp/Spouse</v>
      </c>
      <c r="G14" s="53" t="str">
        <f>M8</f>
        <v>Emp/Spouse</v>
      </c>
      <c r="H14" s="52"/>
      <c r="I14" s="52"/>
      <c r="J14" s="93"/>
      <c r="K14" s="92" t="str">
        <f>B11&amp;M9</f>
        <v>FT_BE_09Emp Only</v>
      </c>
      <c r="L14" s="62">
        <f>N9</f>
        <v>0</v>
      </c>
      <c r="M14" s="63">
        <v>0.18</v>
      </c>
      <c r="N14" s="93">
        <v>100</v>
      </c>
      <c r="O14" s="52"/>
    </row>
    <row r="15" spans="1:18" hidden="1" x14ac:dyDescent="0.2">
      <c r="B15" s="92" t="s">
        <v>71</v>
      </c>
      <c r="C15" s="93">
        <v>1</v>
      </c>
      <c r="D15" s="191"/>
      <c r="E15" s="97" t="str">
        <f>M9</f>
        <v>Emp Only</v>
      </c>
      <c r="F15" s="53" t="str">
        <f>M9</f>
        <v>Emp Only</v>
      </c>
      <c r="G15" s="53" t="str">
        <f>M9</f>
        <v>Emp Only</v>
      </c>
      <c r="H15" s="52"/>
      <c r="I15" s="52"/>
      <c r="J15" s="93"/>
      <c r="K15" s="92" t="str">
        <f>B12&amp;M6</f>
        <v>FT_BE_12Emp/Family</v>
      </c>
      <c r="L15" s="62" t="e">
        <f>N6</f>
        <v>#REF!</v>
      </c>
      <c r="M15" s="63">
        <v>0.18</v>
      </c>
      <c r="N15" s="93">
        <v>100</v>
      </c>
      <c r="O15" s="52"/>
    </row>
    <row r="16" spans="1:18" ht="13.5" hidden="1" thickBot="1" x14ac:dyDescent="0.25">
      <c r="B16" s="94" t="s">
        <v>65</v>
      </c>
      <c r="C16" s="95">
        <v>0</v>
      </c>
      <c r="D16" s="191"/>
      <c r="E16" s="94" t="s">
        <v>69</v>
      </c>
      <c r="F16" s="190" t="s">
        <v>69</v>
      </c>
      <c r="G16" s="190" t="s">
        <v>69</v>
      </c>
      <c r="H16" s="98"/>
      <c r="I16" s="98"/>
      <c r="J16" s="95"/>
      <c r="K16" s="92" t="str">
        <f>B12&amp;M7</f>
        <v>FT_BE_12Emp/Child</v>
      </c>
      <c r="L16" s="62">
        <f>N7</f>
        <v>0</v>
      </c>
      <c r="M16" s="63">
        <v>0.18</v>
      </c>
      <c r="N16" s="93">
        <v>100</v>
      </c>
      <c r="O16" s="52"/>
    </row>
    <row r="17" spans="2:15" hidden="1" x14ac:dyDescent="0.2">
      <c r="B17" s="52"/>
      <c r="C17" s="52"/>
      <c r="D17" s="52"/>
      <c r="E17" s="52"/>
      <c r="F17" s="52"/>
      <c r="G17" s="52"/>
      <c r="H17" s="52"/>
      <c r="I17" s="52"/>
      <c r="J17" s="52"/>
      <c r="K17" s="92" t="str">
        <f>B12&amp;M8</f>
        <v>FT_BE_12Emp/Spouse</v>
      </c>
      <c r="L17" s="62">
        <f>N8</f>
        <v>0</v>
      </c>
      <c r="M17" s="63">
        <v>0.18</v>
      </c>
      <c r="N17" s="93">
        <v>100</v>
      </c>
      <c r="O17" s="52"/>
    </row>
    <row r="18" spans="2:15" hidden="1" x14ac:dyDescent="0.2">
      <c r="B18" s="52"/>
      <c r="C18" s="52"/>
      <c r="D18" s="52"/>
      <c r="E18" s="52"/>
      <c r="F18" s="52"/>
      <c r="G18" s="52"/>
      <c r="H18" s="52"/>
      <c r="I18" s="52"/>
      <c r="J18" s="52"/>
      <c r="K18" s="92" t="str">
        <f>B12&amp;M9</f>
        <v>FT_BE_12Emp Only</v>
      </c>
      <c r="L18" s="62">
        <f>N9</f>
        <v>0</v>
      </c>
      <c r="M18" s="63">
        <v>0.18</v>
      </c>
      <c r="N18" s="93">
        <v>100</v>
      </c>
      <c r="O18" s="52"/>
    </row>
    <row r="19" spans="2:15" hidden="1" x14ac:dyDescent="0.2">
      <c r="B19" s="52"/>
      <c r="C19" s="52"/>
      <c r="D19" s="52"/>
      <c r="E19" s="52"/>
      <c r="F19" s="52"/>
      <c r="G19" s="52"/>
      <c r="H19" s="52"/>
      <c r="I19" s="52"/>
      <c r="J19" s="52"/>
      <c r="K19" s="92" t="str">
        <f>B13&amp;M6</f>
        <v>PT_BE_12Emp/Family</v>
      </c>
      <c r="L19" s="62" t="e">
        <f>N6</f>
        <v>#REF!</v>
      </c>
      <c r="M19" s="63">
        <v>0.18</v>
      </c>
      <c r="N19" s="93">
        <v>50</v>
      </c>
      <c r="O19" s="52"/>
    </row>
    <row r="20" spans="2:15" hidden="1" x14ac:dyDescent="0.2">
      <c r="B20" s="52"/>
      <c r="C20" s="52"/>
      <c r="D20" s="52"/>
      <c r="E20" s="52"/>
      <c r="F20" s="52"/>
      <c r="G20" s="52"/>
      <c r="H20" s="52"/>
      <c r="I20" s="52"/>
      <c r="J20" s="52"/>
      <c r="K20" s="92" t="str">
        <f>B13&amp;M7</f>
        <v>PT_BE_12Emp/Child</v>
      </c>
      <c r="L20" s="62">
        <f>N7</f>
        <v>0</v>
      </c>
      <c r="M20" s="63">
        <v>0.18</v>
      </c>
      <c r="N20" s="93">
        <v>50</v>
      </c>
      <c r="O20" s="52"/>
    </row>
    <row r="21" spans="2:15" hidden="1" x14ac:dyDescent="0.2">
      <c r="B21" s="52"/>
      <c r="C21" s="52"/>
      <c r="D21" s="52"/>
      <c r="E21" s="52"/>
      <c r="F21" s="52"/>
      <c r="G21" s="52"/>
      <c r="H21" s="52"/>
      <c r="I21" s="52"/>
      <c r="J21" s="52"/>
      <c r="K21" s="92" t="str">
        <f>B13&amp;M8</f>
        <v>PT_BE_12Emp/Spouse</v>
      </c>
      <c r="L21" s="62">
        <f>N8</f>
        <v>0</v>
      </c>
      <c r="M21" s="63">
        <v>0.18</v>
      </c>
      <c r="N21" s="93">
        <v>50</v>
      </c>
      <c r="O21" s="52"/>
    </row>
    <row r="22" spans="2:15" hidden="1" x14ac:dyDescent="0.2">
      <c r="B22" s="52"/>
      <c r="C22" s="52"/>
      <c r="D22" s="52"/>
      <c r="E22" s="52"/>
      <c r="F22" s="52"/>
      <c r="G22" s="52"/>
      <c r="H22" s="52"/>
      <c r="I22" s="52"/>
      <c r="J22" s="52"/>
      <c r="K22" s="92" t="str">
        <f>B13&amp;M9</f>
        <v>PT_BE_12Emp Only</v>
      </c>
      <c r="L22" s="62">
        <f>N9</f>
        <v>0</v>
      </c>
      <c r="M22" s="63">
        <v>0.18</v>
      </c>
      <c r="N22" s="93">
        <v>50</v>
      </c>
      <c r="O22" s="52"/>
    </row>
    <row r="23" spans="2:15" hidden="1" x14ac:dyDescent="0.2">
      <c r="B23" s="52"/>
      <c r="C23" s="52"/>
      <c r="D23" s="52"/>
      <c r="E23" s="52"/>
      <c r="F23" s="52"/>
      <c r="G23" s="52"/>
      <c r="H23" s="52"/>
      <c r="I23" s="52"/>
      <c r="J23" s="52"/>
      <c r="K23" s="92" t="str">
        <f>B14&amp;H12</f>
        <v>PT_NB_12None</v>
      </c>
      <c r="L23" s="52">
        <v>0</v>
      </c>
      <c r="M23" s="63">
        <v>0.08</v>
      </c>
      <c r="N23" s="93">
        <v>0</v>
      </c>
      <c r="O23" s="52"/>
    </row>
    <row r="24" spans="2:15" hidden="1" x14ac:dyDescent="0.2">
      <c r="B24" s="52"/>
      <c r="C24" s="52"/>
      <c r="D24" s="52"/>
      <c r="E24" s="52"/>
      <c r="F24" s="52"/>
      <c r="G24" s="52"/>
      <c r="H24" s="52"/>
      <c r="I24" s="52"/>
      <c r="J24" s="52"/>
      <c r="K24" s="92" t="str">
        <f>B11&amp;N10</f>
        <v>FT_BE_09Select One</v>
      </c>
      <c r="L24" s="52">
        <v>0</v>
      </c>
      <c r="M24" s="63">
        <v>0</v>
      </c>
      <c r="N24" s="93">
        <v>0</v>
      </c>
      <c r="O24" s="52"/>
    </row>
    <row r="25" spans="2:15" hidden="1" x14ac:dyDescent="0.2">
      <c r="B25" s="52"/>
      <c r="C25" s="52"/>
      <c r="D25" s="52"/>
      <c r="E25" s="52"/>
      <c r="F25" s="52"/>
      <c r="G25" s="52"/>
      <c r="H25" s="52"/>
      <c r="I25" s="52"/>
      <c r="J25" s="52"/>
      <c r="K25" s="92" t="str">
        <f>B12&amp;N10</f>
        <v>FT_BE_12Select One</v>
      </c>
      <c r="L25" s="52">
        <v>0</v>
      </c>
      <c r="M25" s="63">
        <v>0</v>
      </c>
      <c r="N25" s="93">
        <v>0</v>
      </c>
      <c r="O25" s="52"/>
    </row>
    <row r="26" spans="2:15" hidden="1" x14ac:dyDescent="0.2">
      <c r="B26" s="52"/>
      <c r="C26" s="52"/>
      <c r="D26" s="52"/>
      <c r="E26" s="52"/>
      <c r="F26" s="52"/>
      <c r="G26" s="52"/>
      <c r="H26" s="52"/>
      <c r="I26" s="52"/>
      <c r="J26" s="52"/>
      <c r="K26" s="92" t="str">
        <f>B13&amp;N10</f>
        <v>PT_BE_12Select One</v>
      </c>
      <c r="L26" s="52">
        <v>0</v>
      </c>
      <c r="M26" s="63">
        <v>0</v>
      </c>
      <c r="N26" s="93">
        <v>0</v>
      </c>
      <c r="O26" s="52"/>
    </row>
    <row r="27" spans="2:15" hidden="1" x14ac:dyDescent="0.2">
      <c r="B27" s="52"/>
      <c r="C27" s="52"/>
      <c r="D27" s="52"/>
      <c r="E27" s="52"/>
      <c r="F27" s="52"/>
      <c r="G27" s="52"/>
      <c r="H27" s="52"/>
      <c r="I27" s="52"/>
      <c r="J27" s="52"/>
      <c r="K27" s="92" t="str">
        <f>B14&amp;N10</f>
        <v>PT_NB_12Select One</v>
      </c>
      <c r="L27" s="52">
        <v>0</v>
      </c>
      <c r="M27" s="63">
        <v>0</v>
      </c>
      <c r="N27" s="93">
        <v>0</v>
      </c>
      <c r="O27" s="52"/>
    </row>
    <row r="28" spans="2:15" hidden="1" x14ac:dyDescent="0.2">
      <c r="B28" s="52"/>
      <c r="C28" s="52"/>
      <c r="D28" s="52"/>
      <c r="E28" s="52"/>
      <c r="F28" s="52"/>
      <c r="G28" s="52"/>
      <c r="H28" s="52"/>
      <c r="I28" s="52"/>
      <c r="J28" s="52"/>
      <c r="K28" s="92" t="str">
        <f>B15&amp;J11</f>
        <v>HourlySelect One</v>
      </c>
      <c r="L28" s="52">
        <v>0</v>
      </c>
      <c r="M28" s="64">
        <v>0</v>
      </c>
      <c r="N28" s="93">
        <v>0</v>
      </c>
      <c r="O28" s="52"/>
    </row>
    <row r="29" spans="2:15" hidden="1" x14ac:dyDescent="0.2">
      <c r="B29" s="52"/>
      <c r="C29" s="52"/>
      <c r="D29" s="52"/>
      <c r="E29" s="52"/>
      <c r="F29" s="52"/>
      <c r="G29" s="52"/>
      <c r="H29" s="52"/>
      <c r="I29" s="52"/>
      <c r="J29" s="52"/>
      <c r="K29" s="92" t="str">
        <f>B15&amp;J12</f>
        <v>HourlyNone</v>
      </c>
      <c r="L29" s="52">
        <v>0</v>
      </c>
      <c r="M29" s="64">
        <v>0.08</v>
      </c>
      <c r="N29" s="93">
        <v>0</v>
      </c>
      <c r="O29" s="52"/>
    </row>
    <row r="30" spans="2:15" hidden="1" x14ac:dyDescent="0.2">
      <c r="B30" s="52"/>
      <c r="C30" s="52"/>
      <c r="D30" s="52"/>
      <c r="E30" s="52"/>
      <c r="F30" s="52"/>
      <c r="G30" s="52"/>
      <c r="H30" s="52"/>
      <c r="I30" s="52"/>
      <c r="J30" s="52"/>
      <c r="K30" s="92" t="str">
        <f>B11&amp;E16</f>
        <v>FT_BE_09None</v>
      </c>
      <c r="L30" s="52">
        <v>0</v>
      </c>
      <c r="M30" s="64">
        <v>0.18</v>
      </c>
      <c r="N30" s="93">
        <v>100</v>
      </c>
      <c r="O30" s="52"/>
    </row>
    <row r="31" spans="2:15" hidden="1" x14ac:dyDescent="0.2">
      <c r="B31" s="52"/>
      <c r="C31" s="52"/>
      <c r="D31" s="52"/>
      <c r="E31" s="52"/>
      <c r="F31" s="52"/>
      <c r="G31" s="52"/>
      <c r="H31" s="52"/>
      <c r="I31" s="52"/>
      <c r="J31" s="52"/>
      <c r="K31" s="92" t="str">
        <f>B12&amp;F16</f>
        <v>FT_BE_12None</v>
      </c>
      <c r="L31" s="52">
        <v>0</v>
      </c>
      <c r="M31" s="64">
        <v>0.18</v>
      </c>
      <c r="N31" s="93">
        <v>100</v>
      </c>
      <c r="O31" s="52"/>
    </row>
    <row r="32" spans="2:15" hidden="1" x14ac:dyDescent="0.2">
      <c r="B32" s="52"/>
      <c r="C32" s="52"/>
      <c r="D32" s="52"/>
      <c r="E32" s="52"/>
      <c r="F32" s="52"/>
      <c r="G32" s="52"/>
      <c r="H32" s="52"/>
      <c r="I32" s="52"/>
      <c r="J32" s="52"/>
      <c r="K32" s="92" t="str">
        <f>B13&amp;G16</f>
        <v>PT_BE_12None</v>
      </c>
      <c r="L32" s="52">
        <v>0</v>
      </c>
      <c r="M32" s="64">
        <v>0.18</v>
      </c>
      <c r="N32" s="93">
        <v>100</v>
      </c>
      <c r="O32" s="52"/>
    </row>
    <row r="33" spans="1:19" ht="13.5" hidden="1" thickBot="1" x14ac:dyDescent="0.25">
      <c r="B33" s="52"/>
      <c r="C33" s="52"/>
      <c r="D33" s="52"/>
      <c r="E33" s="52"/>
      <c r="F33" s="52"/>
      <c r="G33" s="52"/>
      <c r="H33" s="52"/>
      <c r="I33" s="52"/>
      <c r="J33" s="52"/>
      <c r="K33" s="94" t="str">
        <f>B16&amp;Select</f>
        <v>SelectSelect One</v>
      </c>
      <c r="L33" s="98">
        <v>0</v>
      </c>
      <c r="M33" s="98">
        <v>0</v>
      </c>
      <c r="N33" s="95">
        <v>0</v>
      </c>
      <c r="O33" s="52"/>
    </row>
    <row r="34" spans="1:19" ht="18" customHeight="1" thickBot="1" x14ac:dyDescent="0.25">
      <c r="A34" s="360"/>
      <c r="B34" s="360"/>
      <c r="C34" s="360"/>
      <c r="D34" s="360"/>
      <c r="E34" s="360"/>
      <c r="F34" s="360"/>
      <c r="G34" s="360"/>
      <c r="H34" s="360"/>
      <c r="I34" s="360"/>
      <c r="J34" s="360"/>
      <c r="K34" s="360"/>
      <c r="L34" s="360"/>
      <c r="M34" s="360"/>
      <c r="N34" s="360"/>
      <c r="O34" s="360"/>
    </row>
    <row r="35" spans="1:19" ht="13.5" customHeight="1" x14ac:dyDescent="0.2">
      <c r="A35" s="361" t="s">
        <v>38</v>
      </c>
      <c r="B35" s="409" t="s">
        <v>208</v>
      </c>
      <c r="C35" s="383"/>
      <c r="D35" s="383"/>
      <c r="E35" s="383"/>
      <c r="F35" s="383"/>
      <c r="G35" s="383"/>
      <c r="H35" s="383"/>
      <c r="I35" s="383"/>
      <c r="J35" s="383"/>
      <c r="K35" s="410" t="s">
        <v>70</v>
      </c>
      <c r="L35" s="411"/>
      <c r="M35" s="193" t="e">
        <f>SUM(M37:M63)</f>
        <v>#REF!</v>
      </c>
      <c r="N35" s="193" t="e">
        <f>SUM(N37:N63)</f>
        <v>#REF!</v>
      </c>
      <c r="O35" s="20" t="e">
        <f>SUM(O37:O63)</f>
        <v>#REF!</v>
      </c>
    </row>
    <row r="36" spans="1:19" ht="39" customHeight="1" x14ac:dyDescent="0.2">
      <c r="A36" s="362"/>
      <c r="B36" s="364" t="s">
        <v>60</v>
      </c>
      <c r="C36" s="364"/>
      <c r="D36" s="85" t="s">
        <v>1</v>
      </c>
      <c r="E36" s="85" t="s">
        <v>74</v>
      </c>
      <c r="F36" s="86" t="s">
        <v>15</v>
      </c>
      <c r="G36" s="365" t="s">
        <v>73</v>
      </c>
      <c r="H36" s="366"/>
      <c r="I36" s="85" t="s">
        <v>189</v>
      </c>
      <c r="J36" s="85" t="s">
        <v>72</v>
      </c>
      <c r="K36" s="87" t="s">
        <v>198</v>
      </c>
      <c r="L36" s="85" t="s">
        <v>7</v>
      </c>
      <c r="M36" s="85" t="s">
        <v>77</v>
      </c>
      <c r="N36" s="85" t="s">
        <v>31</v>
      </c>
      <c r="O36" s="88" t="s">
        <v>209</v>
      </c>
      <c r="P36" s="82"/>
      <c r="S36" s="7"/>
    </row>
    <row r="37" spans="1:19" ht="13.5" customHeight="1" x14ac:dyDescent="0.2">
      <c r="A37" s="362"/>
      <c r="B37" s="367" t="e">
        <f>IF('Per9'!B37&lt;&gt;"",'Per9'!B37,"")</f>
        <v>#REF!</v>
      </c>
      <c r="C37" s="367"/>
      <c r="D37" s="129" t="e">
        <f>IF('Per9'!D37&lt;&gt;"",'Per9'!D37,"")</f>
        <v>#REF!</v>
      </c>
      <c r="E37" s="124" t="e">
        <f>'Per9'!E37</f>
        <v>#REF!</v>
      </c>
      <c r="F37" s="54" t="e">
        <f>'Per9'!F37</f>
        <v>#REF!</v>
      </c>
      <c r="G37" s="368" t="e">
        <f>IF(E37="Hourly",ROUND('Per9'!G37*1.03,2),ROUND('Per9'!G37*1.03,0))</f>
        <v>#REF!</v>
      </c>
      <c r="H37" s="369"/>
      <c r="I37" s="8"/>
      <c r="J37" s="59"/>
      <c r="K37" s="9" t="e">
        <f>IF(E37="Hourly",I37*J37/173.33,I37*J37/100)</f>
        <v>#REF!</v>
      </c>
      <c r="L37" s="10" t="e">
        <f t="shared" ref="L37:L63" si="0">IF(M37&lt;&gt;0,SUM(N37/M37),"-")</f>
        <v>#REF!</v>
      </c>
      <c r="M37" s="45" t="e">
        <f t="shared" ref="M37:M63" si="1">ROUND((G37*I37*J37*VLOOKUP(E37,$B$11:$C$16,2,FALSE)),0)</f>
        <v>#REF!</v>
      </c>
      <c r="N37" s="45" t="e">
        <f t="shared" ref="N37:N63" si="2">ROUND(M37*VLOOKUP(E37&amp;F37,$K$11:$N$33,3,FALSE)+VLOOKUP(E37&amp;F37,$K$11:$N$33,2,FALSE)*MIN(J37,VLOOKUP(E37&amp;F37,$K$11:$N$33,4,FALSE))*I37/100,0)</f>
        <v>#REF!</v>
      </c>
      <c r="O37" s="46" t="e">
        <f t="shared" ref="O37:O63" si="3">M37+N37</f>
        <v>#REF!</v>
      </c>
      <c r="P37" s="73"/>
      <c r="Q37" s="17" t="s">
        <v>75</v>
      </c>
      <c r="S37" s="5"/>
    </row>
    <row r="38" spans="1:19" ht="13.5" customHeight="1" x14ac:dyDescent="0.2">
      <c r="A38" s="362"/>
      <c r="B38" s="367" t="e">
        <f>IF('Per9'!B38&lt;&gt;"",'Per9'!B38,"")</f>
        <v>#REF!</v>
      </c>
      <c r="C38" s="367"/>
      <c r="D38" s="129" t="e">
        <f>IF('Per9'!D38&lt;&gt;"",'Per9'!D38,"")</f>
        <v>#REF!</v>
      </c>
      <c r="E38" s="124" t="e">
        <f>'Per9'!E38</f>
        <v>#REF!</v>
      </c>
      <c r="F38" s="54" t="e">
        <f>'Per9'!F38</f>
        <v>#REF!</v>
      </c>
      <c r="G38" s="368" t="e">
        <f>IF(E38="Hourly",ROUND('Per9'!G38*1.03,2),ROUND('Per9'!G38*1.03,0))</f>
        <v>#REF!</v>
      </c>
      <c r="H38" s="369"/>
      <c r="I38" s="8"/>
      <c r="J38" s="59"/>
      <c r="K38" s="9" t="e">
        <f t="shared" ref="K38:K63" si="4">IF(E38="Hourly",I38*J38/173.33,I38*J38/100)</f>
        <v>#REF!</v>
      </c>
      <c r="L38" s="10" t="e">
        <f t="shared" si="0"/>
        <v>#REF!</v>
      </c>
      <c r="M38" s="45" t="e">
        <f t="shared" si="1"/>
        <v>#REF!</v>
      </c>
      <c r="N38" s="45" t="e">
        <f t="shared" si="2"/>
        <v>#REF!</v>
      </c>
      <c r="O38" s="11" t="e">
        <f t="shared" si="3"/>
        <v>#REF!</v>
      </c>
      <c r="P38" s="74"/>
      <c r="Q38" s="17" t="s">
        <v>194</v>
      </c>
      <c r="S38" s="5"/>
    </row>
    <row r="39" spans="1:19" ht="13.5" customHeight="1" x14ac:dyDescent="0.2">
      <c r="A39" s="362"/>
      <c r="B39" s="367" t="e">
        <f>IF('Per9'!B39&lt;&gt;"",'Per9'!B39,"")</f>
        <v>#REF!</v>
      </c>
      <c r="C39" s="367"/>
      <c r="D39" s="129" t="e">
        <f>IF('Per9'!D39&lt;&gt;"",'Per9'!D39,"")</f>
        <v>#REF!</v>
      </c>
      <c r="E39" s="124" t="e">
        <f>'Per9'!E39</f>
        <v>#REF!</v>
      </c>
      <c r="F39" s="54" t="e">
        <f>'Per9'!F39</f>
        <v>#REF!</v>
      </c>
      <c r="G39" s="368" t="e">
        <f>IF(E39="Hourly",ROUND('Per9'!G39*1.03,2),ROUND('Per9'!G39*1.03,0))</f>
        <v>#REF!</v>
      </c>
      <c r="H39" s="369"/>
      <c r="I39" s="8"/>
      <c r="J39" s="59"/>
      <c r="K39" s="9" t="e">
        <f t="shared" si="4"/>
        <v>#REF!</v>
      </c>
      <c r="L39" s="10" t="e">
        <f t="shared" si="0"/>
        <v>#REF!</v>
      </c>
      <c r="M39" s="45" t="e">
        <f t="shared" si="1"/>
        <v>#REF!</v>
      </c>
      <c r="N39" s="45" t="e">
        <f t="shared" si="2"/>
        <v>#REF!</v>
      </c>
      <c r="O39" s="11" t="e">
        <f t="shared" si="3"/>
        <v>#REF!</v>
      </c>
      <c r="P39" s="74"/>
      <c r="Q39" s="17" t="s">
        <v>195</v>
      </c>
      <c r="S39" s="5"/>
    </row>
    <row r="40" spans="1:19" ht="13.5" customHeight="1" x14ac:dyDescent="0.2">
      <c r="A40" s="362"/>
      <c r="B40" s="367" t="e">
        <f>IF('Per9'!B40&lt;&gt;"",'Per9'!B40,"")</f>
        <v>#REF!</v>
      </c>
      <c r="C40" s="367"/>
      <c r="D40" s="129" t="e">
        <f>IF('Per9'!D40&lt;&gt;"",'Per9'!D40,"")</f>
        <v>#REF!</v>
      </c>
      <c r="E40" s="124" t="e">
        <f>'Per9'!E40</f>
        <v>#REF!</v>
      </c>
      <c r="F40" s="54" t="e">
        <f>'Per9'!F40</f>
        <v>#REF!</v>
      </c>
      <c r="G40" s="368" t="e">
        <f>IF(E40="Hourly",ROUND('Per9'!G40*1.03,2),ROUND('Per9'!G40*1.03,0))</f>
        <v>#REF!</v>
      </c>
      <c r="H40" s="369"/>
      <c r="I40" s="8"/>
      <c r="J40" s="59"/>
      <c r="K40" s="9" t="e">
        <f t="shared" si="4"/>
        <v>#REF!</v>
      </c>
      <c r="L40" s="10" t="e">
        <f t="shared" si="0"/>
        <v>#REF!</v>
      </c>
      <c r="M40" s="45" t="e">
        <f t="shared" si="1"/>
        <v>#REF!</v>
      </c>
      <c r="N40" s="45" t="e">
        <f t="shared" si="2"/>
        <v>#REF!</v>
      </c>
      <c r="O40" s="11" t="e">
        <f t="shared" si="3"/>
        <v>#REF!</v>
      </c>
      <c r="P40" s="74"/>
      <c r="Q40" s="17" t="s">
        <v>196</v>
      </c>
      <c r="S40" s="5"/>
    </row>
    <row r="41" spans="1:19" ht="13.5" customHeight="1" x14ac:dyDescent="0.2">
      <c r="A41" s="362"/>
      <c r="B41" s="367" t="e">
        <f>IF('Per9'!B41&lt;&gt;"",'Per9'!B41,"")</f>
        <v>#REF!</v>
      </c>
      <c r="C41" s="367"/>
      <c r="D41" s="129" t="e">
        <f>IF('Per9'!D41&lt;&gt;"",'Per9'!D41,"")</f>
        <v>#REF!</v>
      </c>
      <c r="E41" s="124" t="e">
        <f>'Per9'!E41</f>
        <v>#REF!</v>
      </c>
      <c r="F41" s="54" t="e">
        <f>'Per9'!F41</f>
        <v>#REF!</v>
      </c>
      <c r="G41" s="368" t="e">
        <f>IF(E41="Hourly",ROUND('Per9'!G41*1.03,2),ROUND('Per9'!G41*1.03,0))</f>
        <v>#REF!</v>
      </c>
      <c r="H41" s="369"/>
      <c r="I41" s="8"/>
      <c r="J41" s="59"/>
      <c r="K41" s="9" t="e">
        <f t="shared" si="4"/>
        <v>#REF!</v>
      </c>
      <c r="L41" s="10" t="e">
        <f t="shared" si="0"/>
        <v>#REF!</v>
      </c>
      <c r="M41" s="45" t="e">
        <f t="shared" si="1"/>
        <v>#REF!</v>
      </c>
      <c r="N41" s="45" t="e">
        <f t="shared" si="2"/>
        <v>#REF!</v>
      </c>
      <c r="O41" s="11" t="e">
        <f t="shared" si="3"/>
        <v>#REF!</v>
      </c>
      <c r="P41" s="74"/>
      <c r="Q41" s="17" t="s">
        <v>192</v>
      </c>
      <c r="S41" s="5"/>
    </row>
    <row r="42" spans="1:19" ht="13.5" customHeight="1" x14ac:dyDescent="0.2">
      <c r="A42" s="362"/>
      <c r="B42" s="367" t="e">
        <f>IF('Per9'!B42&lt;&gt;"",'Per9'!B42,"")</f>
        <v>#REF!</v>
      </c>
      <c r="C42" s="367"/>
      <c r="D42" s="129" t="e">
        <f>IF('Per9'!D42&lt;&gt;"",'Per9'!D42,"")</f>
        <v>#REF!</v>
      </c>
      <c r="E42" s="124" t="e">
        <f>'Per9'!E42</f>
        <v>#REF!</v>
      </c>
      <c r="F42" s="54" t="e">
        <f>'Per9'!F42</f>
        <v>#REF!</v>
      </c>
      <c r="G42" s="368" t="e">
        <f>IF(E42="Hourly",ROUND('Per9'!G42*1.03,2),ROUND('Per9'!G42*1.03,0))</f>
        <v>#REF!</v>
      </c>
      <c r="H42" s="369"/>
      <c r="I42" s="8"/>
      <c r="J42" s="59"/>
      <c r="K42" s="9" t="e">
        <f t="shared" si="4"/>
        <v>#REF!</v>
      </c>
      <c r="L42" s="10" t="e">
        <f t="shared" si="0"/>
        <v>#REF!</v>
      </c>
      <c r="M42" s="45" t="e">
        <f t="shared" si="1"/>
        <v>#REF!</v>
      </c>
      <c r="N42" s="45" t="e">
        <f t="shared" si="2"/>
        <v>#REF!</v>
      </c>
      <c r="O42" s="11" t="e">
        <f t="shared" si="3"/>
        <v>#REF!</v>
      </c>
      <c r="P42" s="74"/>
      <c r="Q42" s="17" t="s">
        <v>193</v>
      </c>
      <c r="S42" s="3"/>
    </row>
    <row r="43" spans="1:19" ht="13.5" customHeight="1" x14ac:dyDescent="0.2">
      <c r="A43" s="362"/>
      <c r="B43" s="367" t="e">
        <f>IF('Per9'!B43&lt;&gt;"",'Per9'!B43,"")</f>
        <v>#REF!</v>
      </c>
      <c r="C43" s="367"/>
      <c r="D43" s="129" t="e">
        <f>IF('Per9'!D43&lt;&gt;"",'Per9'!D43,"")</f>
        <v>#REF!</v>
      </c>
      <c r="E43" s="124" t="e">
        <f>'Per9'!E43</f>
        <v>#REF!</v>
      </c>
      <c r="F43" s="54" t="e">
        <f>'Per9'!F43</f>
        <v>#REF!</v>
      </c>
      <c r="G43" s="368" t="e">
        <f>IF(E43="Hourly",ROUND('Per9'!G43*1.03,2),ROUND('Per9'!G43*1.03,0))</f>
        <v>#REF!</v>
      </c>
      <c r="H43" s="369"/>
      <c r="I43" s="8"/>
      <c r="J43" s="59"/>
      <c r="K43" s="9" t="e">
        <f t="shared" si="4"/>
        <v>#REF!</v>
      </c>
      <c r="L43" s="10" t="e">
        <f t="shared" si="0"/>
        <v>#REF!</v>
      </c>
      <c r="M43" s="45" t="e">
        <f t="shared" si="1"/>
        <v>#REF!</v>
      </c>
      <c r="N43" s="45" t="e">
        <f t="shared" si="2"/>
        <v>#REF!</v>
      </c>
      <c r="O43" s="11" t="e">
        <f t="shared" si="3"/>
        <v>#REF!</v>
      </c>
      <c r="P43" s="74"/>
      <c r="Q43" s="17"/>
      <c r="S43" s="3"/>
    </row>
    <row r="44" spans="1:19" ht="13.5" customHeight="1" x14ac:dyDescent="0.2">
      <c r="A44" s="362"/>
      <c r="B44" s="367" t="e">
        <f>IF('Per9'!B44&lt;&gt;"",'Per9'!B44,"")</f>
        <v>#REF!</v>
      </c>
      <c r="C44" s="367"/>
      <c r="D44" s="129" t="e">
        <f>IF('Per9'!D44&lt;&gt;"",'Per9'!D44,"")</f>
        <v>#REF!</v>
      </c>
      <c r="E44" s="124" t="e">
        <f>'Per9'!E44</f>
        <v>#REF!</v>
      </c>
      <c r="F44" s="54" t="e">
        <f>'Per9'!F44</f>
        <v>#REF!</v>
      </c>
      <c r="G44" s="368" t="e">
        <f>IF(E44="Hourly",ROUND('Per9'!G44*1.03,2),ROUND('Per9'!G44*1.03,0))</f>
        <v>#REF!</v>
      </c>
      <c r="H44" s="369"/>
      <c r="I44" s="8"/>
      <c r="J44" s="59"/>
      <c r="K44" s="9" t="e">
        <f t="shared" si="4"/>
        <v>#REF!</v>
      </c>
      <c r="L44" s="10" t="e">
        <f t="shared" si="0"/>
        <v>#REF!</v>
      </c>
      <c r="M44" s="45" t="e">
        <f t="shared" si="1"/>
        <v>#REF!</v>
      </c>
      <c r="N44" s="45" t="e">
        <f t="shared" si="2"/>
        <v>#REF!</v>
      </c>
      <c r="O44" s="11" t="e">
        <f t="shared" si="3"/>
        <v>#REF!</v>
      </c>
      <c r="P44" s="74"/>
      <c r="Q44" s="17"/>
      <c r="S44" s="3"/>
    </row>
    <row r="45" spans="1:19" ht="13.5" customHeight="1" x14ac:dyDescent="0.2">
      <c r="A45" s="362"/>
      <c r="B45" s="367" t="e">
        <f>IF('Per9'!B45&lt;&gt;"",'Per9'!B45,"")</f>
        <v>#REF!</v>
      </c>
      <c r="C45" s="367"/>
      <c r="D45" s="129" t="e">
        <f>IF('Per9'!D45&lt;&gt;"",'Per9'!D45,"")</f>
        <v>#REF!</v>
      </c>
      <c r="E45" s="124" t="e">
        <f>'Per9'!E45</f>
        <v>#REF!</v>
      </c>
      <c r="F45" s="54" t="e">
        <f>'Per9'!F45</f>
        <v>#REF!</v>
      </c>
      <c r="G45" s="368" t="e">
        <f>IF(E45="Hourly",ROUND('Per9'!G45*1.03,2),ROUND('Per9'!G45*1.03,0))</f>
        <v>#REF!</v>
      </c>
      <c r="H45" s="369"/>
      <c r="I45" s="8"/>
      <c r="J45" s="59"/>
      <c r="K45" s="9" t="e">
        <f t="shared" si="4"/>
        <v>#REF!</v>
      </c>
      <c r="L45" s="10" t="e">
        <f t="shared" si="0"/>
        <v>#REF!</v>
      </c>
      <c r="M45" s="45" t="e">
        <f t="shared" si="1"/>
        <v>#REF!</v>
      </c>
      <c r="N45" s="45" t="e">
        <f t="shared" si="2"/>
        <v>#REF!</v>
      </c>
      <c r="O45" s="11" t="e">
        <f t="shared" si="3"/>
        <v>#REF!</v>
      </c>
      <c r="P45" s="74"/>
      <c r="Q45" s="17"/>
      <c r="S45" s="3"/>
    </row>
    <row r="46" spans="1:19" ht="13.5" customHeight="1" x14ac:dyDescent="0.2">
      <c r="A46" s="362"/>
      <c r="B46" s="367" t="e">
        <f>IF('Per9'!B46&lt;&gt;"",'Per9'!B46,"")</f>
        <v>#REF!</v>
      </c>
      <c r="C46" s="367"/>
      <c r="D46" s="129" t="e">
        <f>IF('Per9'!D46&lt;&gt;"",'Per9'!D46,"")</f>
        <v>#REF!</v>
      </c>
      <c r="E46" s="124" t="e">
        <f>'Per9'!E46</f>
        <v>#REF!</v>
      </c>
      <c r="F46" s="54" t="e">
        <f>'Per9'!F46</f>
        <v>#REF!</v>
      </c>
      <c r="G46" s="368" t="e">
        <f>IF(E46="Hourly",ROUND('Per9'!G46*1.03,2),ROUND('Per9'!G46*1.03,0))</f>
        <v>#REF!</v>
      </c>
      <c r="H46" s="369"/>
      <c r="I46" s="8"/>
      <c r="J46" s="59"/>
      <c r="K46" s="9" t="e">
        <f t="shared" si="4"/>
        <v>#REF!</v>
      </c>
      <c r="L46" s="10" t="e">
        <f t="shared" si="0"/>
        <v>#REF!</v>
      </c>
      <c r="M46" s="45" t="e">
        <f t="shared" si="1"/>
        <v>#REF!</v>
      </c>
      <c r="N46" s="45" t="e">
        <f t="shared" si="2"/>
        <v>#REF!</v>
      </c>
      <c r="O46" s="11" t="e">
        <f t="shared" si="3"/>
        <v>#REF!</v>
      </c>
      <c r="P46" s="74"/>
      <c r="Q46" s="17"/>
      <c r="S46" s="3"/>
    </row>
    <row r="47" spans="1:19" ht="13.5" customHeight="1" thickBot="1" x14ac:dyDescent="0.25">
      <c r="A47" s="362"/>
      <c r="B47" s="367" t="e">
        <f>IF('Per9'!B47&lt;&gt;"",'Per9'!B47,"")</f>
        <v>#REF!</v>
      </c>
      <c r="C47" s="367"/>
      <c r="D47" s="129" t="e">
        <f>IF('Per9'!D47&lt;&gt;"",'Per9'!D47,"")</f>
        <v>#REF!</v>
      </c>
      <c r="E47" s="124" t="e">
        <f>'Per9'!E47</f>
        <v>#REF!</v>
      </c>
      <c r="F47" s="54" t="e">
        <f>'Per9'!F47</f>
        <v>#REF!</v>
      </c>
      <c r="G47" s="368" t="e">
        <f>IF(E47="Hourly",ROUND('Per9'!G47*1.03,2),ROUND('Per9'!G47*1.03,0))</f>
        <v>#REF!</v>
      </c>
      <c r="H47" s="369"/>
      <c r="I47" s="8"/>
      <c r="J47" s="59"/>
      <c r="K47" s="9" t="e">
        <f t="shared" si="4"/>
        <v>#REF!</v>
      </c>
      <c r="L47" s="10" t="e">
        <f t="shared" si="0"/>
        <v>#REF!</v>
      </c>
      <c r="M47" s="45" t="e">
        <f t="shared" si="1"/>
        <v>#REF!</v>
      </c>
      <c r="N47" s="45" t="e">
        <f t="shared" si="2"/>
        <v>#REF!</v>
      </c>
      <c r="O47" s="11" t="e">
        <f t="shared" si="3"/>
        <v>#REF!</v>
      </c>
      <c r="P47" s="74"/>
      <c r="Q47" s="17" t="s">
        <v>205</v>
      </c>
      <c r="S47" s="3"/>
    </row>
    <row r="48" spans="1:19" ht="13.5" hidden="1" customHeight="1" x14ac:dyDescent="0.2">
      <c r="A48" s="362"/>
      <c r="B48" s="367" t="e">
        <f>IF('Per9'!B48&lt;&gt;"",'Per9'!B48,"")</f>
        <v>#REF!</v>
      </c>
      <c r="C48" s="367"/>
      <c r="D48" s="129" t="e">
        <f>IF('Per9'!D48&lt;&gt;"",'Per9'!D48,"")</f>
        <v>#REF!</v>
      </c>
      <c r="E48" s="124" t="e">
        <f>'Per9'!E48</f>
        <v>#REF!</v>
      </c>
      <c r="F48" s="54" t="e">
        <f>'Per9'!F48</f>
        <v>#REF!</v>
      </c>
      <c r="G48" s="368" t="e">
        <f>IF(E48="Hourly",ROUND('Per9'!G48*1.03,2),ROUND('Per9'!G48*1.03,0))</f>
        <v>#REF!</v>
      </c>
      <c r="H48" s="369"/>
      <c r="I48" s="8"/>
      <c r="J48" s="59"/>
      <c r="K48" s="9" t="e">
        <f t="shared" si="4"/>
        <v>#REF!</v>
      </c>
      <c r="L48" s="10" t="e">
        <f t="shared" si="0"/>
        <v>#REF!</v>
      </c>
      <c r="M48" s="45" t="e">
        <f t="shared" si="1"/>
        <v>#REF!</v>
      </c>
      <c r="N48" s="45" t="e">
        <f t="shared" si="2"/>
        <v>#REF!</v>
      </c>
      <c r="O48" s="11" t="e">
        <f t="shared" si="3"/>
        <v>#REF!</v>
      </c>
      <c r="P48" s="74"/>
      <c r="Q48" s="17"/>
      <c r="S48" s="3"/>
    </row>
    <row r="49" spans="1:19" ht="13.5" hidden="1" customHeight="1" x14ac:dyDescent="0.2">
      <c r="A49" s="362"/>
      <c r="B49" s="367" t="e">
        <f>IF('Per9'!B49&lt;&gt;"",'Per9'!B49,"")</f>
        <v>#REF!</v>
      </c>
      <c r="C49" s="367"/>
      <c r="D49" s="129" t="e">
        <f>IF('Per9'!D49&lt;&gt;"",'Per9'!D49,"")</f>
        <v>#REF!</v>
      </c>
      <c r="E49" s="124" t="e">
        <f>'Per9'!E49</f>
        <v>#REF!</v>
      </c>
      <c r="F49" s="54" t="e">
        <f>'Per9'!F49</f>
        <v>#REF!</v>
      </c>
      <c r="G49" s="368" t="e">
        <f>IF(E49="Hourly",ROUND('Per9'!G49*1.03,2),ROUND('Per9'!G49*1.03,0))</f>
        <v>#REF!</v>
      </c>
      <c r="H49" s="369"/>
      <c r="I49" s="8"/>
      <c r="J49" s="59"/>
      <c r="K49" s="9" t="e">
        <f t="shared" si="4"/>
        <v>#REF!</v>
      </c>
      <c r="L49" s="10" t="e">
        <f t="shared" si="0"/>
        <v>#REF!</v>
      </c>
      <c r="M49" s="45" t="e">
        <f t="shared" si="1"/>
        <v>#REF!</v>
      </c>
      <c r="N49" s="45" t="e">
        <f t="shared" si="2"/>
        <v>#REF!</v>
      </c>
      <c r="O49" s="11" t="e">
        <f t="shared" si="3"/>
        <v>#REF!</v>
      </c>
      <c r="P49" s="74"/>
      <c r="Q49" s="17"/>
      <c r="S49" s="3"/>
    </row>
    <row r="50" spans="1:19" ht="13.5" hidden="1" customHeight="1" x14ac:dyDescent="0.2">
      <c r="A50" s="362"/>
      <c r="B50" s="367" t="e">
        <f>IF('Per9'!B50&lt;&gt;"",'Per9'!B50,"")</f>
        <v>#REF!</v>
      </c>
      <c r="C50" s="367"/>
      <c r="D50" s="129" t="e">
        <f>IF('Per9'!D50&lt;&gt;"",'Per9'!D50,"")</f>
        <v>#REF!</v>
      </c>
      <c r="E50" s="124" t="e">
        <f>'Per9'!E50</f>
        <v>#REF!</v>
      </c>
      <c r="F50" s="54" t="e">
        <f>'Per9'!F50</f>
        <v>#REF!</v>
      </c>
      <c r="G50" s="368" t="e">
        <f>IF(E50="Hourly",ROUND('Per9'!G50*1.03,2),ROUND('Per9'!G50*1.03,0))</f>
        <v>#REF!</v>
      </c>
      <c r="H50" s="369"/>
      <c r="I50" s="8"/>
      <c r="J50" s="59"/>
      <c r="K50" s="9" t="e">
        <f t="shared" si="4"/>
        <v>#REF!</v>
      </c>
      <c r="L50" s="10" t="e">
        <f t="shared" si="0"/>
        <v>#REF!</v>
      </c>
      <c r="M50" s="45" t="e">
        <f t="shared" si="1"/>
        <v>#REF!</v>
      </c>
      <c r="N50" s="45" t="e">
        <f t="shared" si="2"/>
        <v>#REF!</v>
      </c>
      <c r="O50" s="11" t="e">
        <f t="shared" si="3"/>
        <v>#REF!</v>
      </c>
      <c r="P50" s="74"/>
      <c r="Q50" s="17"/>
      <c r="S50" s="3"/>
    </row>
    <row r="51" spans="1:19" ht="13.5" hidden="1" customHeight="1" x14ac:dyDescent="0.2">
      <c r="A51" s="362"/>
      <c r="B51" s="367" t="e">
        <f>IF('Per9'!B51&lt;&gt;"",'Per9'!B51,"")</f>
        <v>#REF!</v>
      </c>
      <c r="C51" s="367"/>
      <c r="D51" s="129" t="e">
        <f>IF('Per9'!D51&lt;&gt;"",'Per9'!D51,"")</f>
        <v>#REF!</v>
      </c>
      <c r="E51" s="124" t="e">
        <f>'Per9'!E51</f>
        <v>#REF!</v>
      </c>
      <c r="F51" s="54" t="e">
        <f>'Per9'!F51</f>
        <v>#REF!</v>
      </c>
      <c r="G51" s="368" t="e">
        <f>IF(E51="Hourly",ROUND('Per9'!G51*1.03,2),ROUND('Per9'!G51*1.03,0))</f>
        <v>#REF!</v>
      </c>
      <c r="H51" s="369"/>
      <c r="I51" s="8"/>
      <c r="J51" s="59"/>
      <c r="K51" s="9" t="e">
        <f t="shared" si="4"/>
        <v>#REF!</v>
      </c>
      <c r="L51" s="10" t="e">
        <f t="shared" si="0"/>
        <v>#REF!</v>
      </c>
      <c r="M51" s="45" t="e">
        <f t="shared" si="1"/>
        <v>#REF!</v>
      </c>
      <c r="N51" s="45" t="e">
        <f t="shared" si="2"/>
        <v>#REF!</v>
      </c>
      <c r="O51" s="11" t="e">
        <f t="shared" si="3"/>
        <v>#REF!</v>
      </c>
      <c r="P51" s="74"/>
      <c r="Q51" s="17"/>
      <c r="S51" s="3"/>
    </row>
    <row r="52" spans="1:19" ht="13.5" hidden="1" customHeight="1" x14ac:dyDescent="0.2">
      <c r="A52" s="362"/>
      <c r="B52" s="367" t="e">
        <f>IF('Per9'!B52&lt;&gt;"",'Per9'!B52,"")</f>
        <v>#REF!</v>
      </c>
      <c r="C52" s="367"/>
      <c r="D52" s="129" t="e">
        <f>IF('Per9'!D52&lt;&gt;"",'Per9'!D52,"")</f>
        <v>#REF!</v>
      </c>
      <c r="E52" s="124" t="e">
        <f>'Per9'!E52</f>
        <v>#REF!</v>
      </c>
      <c r="F52" s="54" t="e">
        <f>'Per9'!F52</f>
        <v>#REF!</v>
      </c>
      <c r="G52" s="368" t="e">
        <f>IF(E52="Hourly",ROUND('Per9'!G52*1.03,2),ROUND('Per9'!G52*1.03,0))</f>
        <v>#REF!</v>
      </c>
      <c r="H52" s="369"/>
      <c r="I52" s="8"/>
      <c r="J52" s="59"/>
      <c r="K52" s="9" t="e">
        <f t="shared" si="4"/>
        <v>#REF!</v>
      </c>
      <c r="L52" s="10" t="e">
        <f t="shared" si="0"/>
        <v>#REF!</v>
      </c>
      <c r="M52" s="45" t="e">
        <f t="shared" si="1"/>
        <v>#REF!</v>
      </c>
      <c r="N52" s="45" t="e">
        <f t="shared" si="2"/>
        <v>#REF!</v>
      </c>
      <c r="O52" s="11" t="e">
        <f t="shared" si="3"/>
        <v>#REF!</v>
      </c>
      <c r="P52" s="74"/>
      <c r="Q52" s="17"/>
      <c r="S52" s="3"/>
    </row>
    <row r="53" spans="1:19" ht="13.5" hidden="1" customHeight="1" x14ac:dyDescent="0.2">
      <c r="A53" s="362"/>
      <c r="B53" s="367" t="e">
        <f>IF('Per9'!B53&lt;&gt;"",'Per9'!B53,"")</f>
        <v>#REF!</v>
      </c>
      <c r="C53" s="367"/>
      <c r="D53" s="129" t="e">
        <f>IF('Per9'!D53&lt;&gt;"",'Per9'!D53,"")</f>
        <v>#REF!</v>
      </c>
      <c r="E53" s="124" t="e">
        <f>'Per9'!E53</f>
        <v>#REF!</v>
      </c>
      <c r="F53" s="54" t="e">
        <f>'Per9'!F53</f>
        <v>#REF!</v>
      </c>
      <c r="G53" s="368" t="e">
        <f>IF(E53="Hourly",ROUND('Per9'!G53*1.03,2),ROUND('Per9'!G53*1.03,0))</f>
        <v>#REF!</v>
      </c>
      <c r="H53" s="369"/>
      <c r="I53" s="8"/>
      <c r="J53" s="59"/>
      <c r="K53" s="9" t="e">
        <f t="shared" si="4"/>
        <v>#REF!</v>
      </c>
      <c r="L53" s="10" t="e">
        <f t="shared" si="0"/>
        <v>#REF!</v>
      </c>
      <c r="M53" s="45" t="e">
        <f t="shared" si="1"/>
        <v>#REF!</v>
      </c>
      <c r="N53" s="45" t="e">
        <f t="shared" si="2"/>
        <v>#REF!</v>
      </c>
      <c r="O53" s="11" t="e">
        <f t="shared" si="3"/>
        <v>#REF!</v>
      </c>
      <c r="P53" s="74"/>
      <c r="Q53" s="17"/>
      <c r="S53" s="3"/>
    </row>
    <row r="54" spans="1:19" ht="13.5" hidden="1" customHeight="1" x14ac:dyDescent="0.2">
      <c r="A54" s="362"/>
      <c r="B54" s="367" t="e">
        <f>IF('Per9'!B54&lt;&gt;"",'Per9'!B54,"")</f>
        <v>#REF!</v>
      </c>
      <c r="C54" s="367"/>
      <c r="D54" s="129" t="e">
        <f>IF('Per9'!D54&lt;&gt;"",'Per9'!D54,"")</f>
        <v>#REF!</v>
      </c>
      <c r="E54" s="124" t="e">
        <f>'Per9'!E54</f>
        <v>#REF!</v>
      </c>
      <c r="F54" s="54" t="e">
        <f>'Per9'!F54</f>
        <v>#REF!</v>
      </c>
      <c r="G54" s="368" t="e">
        <f>IF(E54="Hourly",ROUND('Per9'!G54*1.03,2),ROUND('Per9'!G54*1.03,0))</f>
        <v>#REF!</v>
      </c>
      <c r="H54" s="369"/>
      <c r="I54" s="8"/>
      <c r="J54" s="59"/>
      <c r="K54" s="9" t="e">
        <f t="shared" si="4"/>
        <v>#REF!</v>
      </c>
      <c r="L54" s="10" t="e">
        <f t="shared" si="0"/>
        <v>#REF!</v>
      </c>
      <c r="M54" s="45" t="e">
        <f t="shared" si="1"/>
        <v>#REF!</v>
      </c>
      <c r="N54" s="45" t="e">
        <f t="shared" si="2"/>
        <v>#REF!</v>
      </c>
      <c r="O54" s="11" t="e">
        <f t="shared" si="3"/>
        <v>#REF!</v>
      </c>
      <c r="P54" s="74"/>
      <c r="Q54" s="17"/>
      <c r="S54" s="3"/>
    </row>
    <row r="55" spans="1:19" ht="13.5" hidden="1" customHeight="1" x14ac:dyDescent="0.2">
      <c r="A55" s="362"/>
      <c r="B55" s="367" t="e">
        <f>IF('Per9'!B55&lt;&gt;"",'Per9'!B55,"")</f>
        <v>#REF!</v>
      </c>
      <c r="C55" s="367"/>
      <c r="D55" s="129" t="e">
        <f>IF('Per9'!D55&lt;&gt;"",'Per9'!D55,"")</f>
        <v>#REF!</v>
      </c>
      <c r="E55" s="124" t="e">
        <f>'Per9'!E55</f>
        <v>#REF!</v>
      </c>
      <c r="F55" s="54" t="e">
        <f>'Per9'!F55</f>
        <v>#REF!</v>
      </c>
      <c r="G55" s="368" t="e">
        <f>IF(E55="Hourly",ROUND('Per9'!G55*1.03,2),ROUND('Per9'!G55*1.03,0))</f>
        <v>#REF!</v>
      </c>
      <c r="H55" s="369"/>
      <c r="I55" s="8"/>
      <c r="J55" s="59"/>
      <c r="K55" s="9" t="e">
        <f t="shared" si="4"/>
        <v>#REF!</v>
      </c>
      <c r="L55" s="10" t="e">
        <f t="shared" si="0"/>
        <v>#REF!</v>
      </c>
      <c r="M55" s="45" t="e">
        <f t="shared" si="1"/>
        <v>#REF!</v>
      </c>
      <c r="N55" s="45" t="e">
        <f t="shared" si="2"/>
        <v>#REF!</v>
      </c>
      <c r="O55" s="11" t="e">
        <f t="shared" si="3"/>
        <v>#REF!</v>
      </c>
      <c r="P55" s="74"/>
      <c r="Q55" s="17"/>
      <c r="S55" s="3"/>
    </row>
    <row r="56" spans="1:19" ht="13.5" hidden="1" customHeight="1" x14ac:dyDescent="0.2">
      <c r="A56" s="362"/>
      <c r="B56" s="367" t="e">
        <f>IF('Per9'!B56&lt;&gt;"",'Per9'!B56,"")</f>
        <v>#REF!</v>
      </c>
      <c r="C56" s="367"/>
      <c r="D56" s="129" t="e">
        <f>IF('Per9'!D56&lt;&gt;"",'Per9'!D56,"")</f>
        <v>#REF!</v>
      </c>
      <c r="E56" s="124" t="e">
        <f>'Per9'!E56</f>
        <v>#REF!</v>
      </c>
      <c r="F56" s="54" t="e">
        <f>'Per9'!F56</f>
        <v>#REF!</v>
      </c>
      <c r="G56" s="368" t="e">
        <f>IF(E56="Hourly",ROUND('Per9'!G56*1.03,2),ROUND('Per9'!G56*1.03,0))</f>
        <v>#REF!</v>
      </c>
      <c r="H56" s="369"/>
      <c r="I56" s="8"/>
      <c r="J56" s="59"/>
      <c r="K56" s="9" t="e">
        <f t="shared" si="4"/>
        <v>#REF!</v>
      </c>
      <c r="L56" s="10" t="e">
        <f t="shared" si="0"/>
        <v>#REF!</v>
      </c>
      <c r="M56" s="45" t="e">
        <f t="shared" si="1"/>
        <v>#REF!</v>
      </c>
      <c r="N56" s="45" t="e">
        <f t="shared" si="2"/>
        <v>#REF!</v>
      </c>
      <c r="O56" s="11" t="e">
        <f t="shared" si="3"/>
        <v>#REF!</v>
      </c>
      <c r="P56" s="74"/>
      <c r="Q56" s="17"/>
      <c r="S56" s="3"/>
    </row>
    <row r="57" spans="1:19" ht="13.5" hidden="1" customHeight="1" x14ac:dyDescent="0.2">
      <c r="A57" s="362"/>
      <c r="B57" s="367" t="e">
        <f>IF('Per9'!B57&lt;&gt;"",'Per9'!B57,"")</f>
        <v>#REF!</v>
      </c>
      <c r="C57" s="367"/>
      <c r="D57" s="129" t="e">
        <f>IF('Per9'!D57&lt;&gt;"",'Per9'!D57,"")</f>
        <v>#REF!</v>
      </c>
      <c r="E57" s="124" t="e">
        <f>'Per9'!E57</f>
        <v>#REF!</v>
      </c>
      <c r="F57" s="54" t="e">
        <f>'Per9'!F57</f>
        <v>#REF!</v>
      </c>
      <c r="G57" s="368" t="e">
        <f>IF(E57="Hourly",ROUND('Per9'!G57*1.03,2),ROUND('Per9'!G57*1.03,0))</f>
        <v>#REF!</v>
      </c>
      <c r="H57" s="369"/>
      <c r="I57" s="8"/>
      <c r="J57" s="59"/>
      <c r="K57" s="9" t="e">
        <f t="shared" si="4"/>
        <v>#REF!</v>
      </c>
      <c r="L57" s="10" t="e">
        <f t="shared" si="0"/>
        <v>#REF!</v>
      </c>
      <c r="M57" s="45" t="e">
        <f t="shared" si="1"/>
        <v>#REF!</v>
      </c>
      <c r="N57" s="45" t="e">
        <f t="shared" si="2"/>
        <v>#REF!</v>
      </c>
      <c r="O57" s="11" t="e">
        <f t="shared" si="3"/>
        <v>#REF!</v>
      </c>
      <c r="P57" s="74"/>
      <c r="Q57" s="17"/>
      <c r="S57" s="3"/>
    </row>
    <row r="58" spans="1:19" ht="13.5" hidden="1" customHeight="1" x14ac:dyDescent="0.2">
      <c r="A58" s="362"/>
      <c r="B58" s="367" t="e">
        <f>IF('Per9'!B58&lt;&gt;"",'Per9'!B58,"")</f>
        <v>#REF!</v>
      </c>
      <c r="C58" s="367"/>
      <c r="D58" s="129" t="e">
        <f>IF('Per9'!D58&lt;&gt;"",'Per9'!D58,"")</f>
        <v>#REF!</v>
      </c>
      <c r="E58" s="124" t="e">
        <f>'Per9'!E58</f>
        <v>#REF!</v>
      </c>
      <c r="F58" s="54" t="e">
        <f>'Per9'!F58</f>
        <v>#REF!</v>
      </c>
      <c r="G58" s="368" t="e">
        <f>IF(E58="Hourly",ROUND('Per9'!G58*1.03,2),ROUND('Per9'!G58*1.03,0))</f>
        <v>#REF!</v>
      </c>
      <c r="H58" s="369"/>
      <c r="I58" s="8"/>
      <c r="J58" s="59"/>
      <c r="K58" s="9" t="e">
        <f t="shared" si="4"/>
        <v>#REF!</v>
      </c>
      <c r="L58" s="10" t="e">
        <f t="shared" si="0"/>
        <v>#REF!</v>
      </c>
      <c r="M58" s="45" t="e">
        <f t="shared" si="1"/>
        <v>#REF!</v>
      </c>
      <c r="N58" s="45" t="e">
        <f t="shared" si="2"/>
        <v>#REF!</v>
      </c>
      <c r="O58" s="11" t="e">
        <f t="shared" si="3"/>
        <v>#REF!</v>
      </c>
      <c r="P58" s="74"/>
      <c r="Q58" s="17"/>
      <c r="S58" s="3"/>
    </row>
    <row r="59" spans="1:19" ht="13.5" hidden="1" customHeight="1" x14ac:dyDescent="0.2">
      <c r="A59" s="362"/>
      <c r="B59" s="367" t="e">
        <f>IF('Per9'!B59&lt;&gt;"",'Per9'!B59,"")</f>
        <v>#REF!</v>
      </c>
      <c r="C59" s="367"/>
      <c r="D59" s="129" t="e">
        <f>IF('Per9'!D59&lt;&gt;"",'Per9'!D59,"")</f>
        <v>#REF!</v>
      </c>
      <c r="E59" s="124" t="e">
        <f>'Per9'!E59</f>
        <v>#REF!</v>
      </c>
      <c r="F59" s="54" t="e">
        <f>'Per9'!F59</f>
        <v>#REF!</v>
      </c>
      <c r="G59" s="368" t="e">
        <f>IF(E59="Hourly",ROUND('Per9'!G59*1.03,2),ROUND('Per9'!G59*1.03,0))</f>
        <v>#REF!</v>
      </c>
      <c r="H59" s="369"/>
      <c r="I59" s="8"/>
      <c r="J59" s="59"/>
      <c r="K59" s="9" t="e">
        <f t="shared" si="4"/>
        <v>#REF!</v>
      </c>
      <c r="L59" s="10" t="e">
        <f t="shared" si="0"/>
        <v>#REF!</v>
      </c>
      <c r="M59" s="45" t="e">
        <f t="shared" si="1"/>
        <v>#REF!</v>
      </c>
      <c r="N59" s="45" t="e">
        <f t="shared" si="2"/>
        <v>#REF!</v>
      </c>
      <c r="O59" s="11" t="e">
        <f t="shared" si="3"/>
        <v>#REF!</v>
      </c>
      <c r="P59" s="74"/>
      <c r="Q59" s="17"/>
      <c r="S59" s="3"/>
    </row>
    <row r="60" spans="1:19" ht="13.5" hidden="1" customHeight="1" x14ac:dyDescent="0.2">
      <c r="A60" s="362"/>
      <c r="B60" s="367" t="e">
        <f>IF('Per9'!B60&lt;&gt;"",'Per9'!B60,"")</f>
        <v>#REF!</v>
      </c>
      <c r="C60" s="367"/>
      <c r="D60" s="129" t="e">
        <f>IF('Per9'!D60&lt;&gt;"",'Per9'!D60,"")</f>
        <v>#REF!</v>
      </c>
      <c r="E60" s="124" t="e">
        <f>'Per9'!E60</f>
        <v>#REF!</v>
      </c>
      <c r="F60" s="54" t="e">
        <f>'Per9'!F60</f>
        <v>#REF!</v>
      </c>
      <c r="G60" s="368" t="e">
        <f>IF(E60="Hourly",ROUND('Per9'!G60*1.03,2),ROUND('Per9'!G60*1.03,0))</f>
        <v>#REF!</v>
      </c>
      <c r="H60" s="369"/>
      <c r="I60" s="8"/>
      <c r="J60" s="59"/>
      <c r="K60" s="9" t="e">
        <f t="shared" si="4"/>
        <v>#REF!</v>
      </c>
      <c r="L60" s="10" t="e">
        <f t="shared" si="0"/>
        <v>#REF!</v>
      </c>
      <c r="M60" s="45" t="e">
        <f t="shared" si="1"/>
        <v>#REF!</v>
      </c>
      <c r="N60" s="45" t="e">
        <f t="shared" si="2"/>
        <v>#REF!</v>
      </c>
      <c r="O60" s="11" t="e">
        <f t="shared" si="3"/>
        <v>#REF!</v>
      </c>
      <c r="P60" s="74"/>
      <c r="Q60" s="17"/>
      <c r="S60" s="3"/>
    </row>
    <row r="61" spans="1:19" ht="13.5" hidden="1" customHeight="1" x14ac:dyDescent="0.2">
      <c r="A61" s="362"/>
      <c r="B61" s="367" t="e">
        <f>IF('Per9'!B61&lt;&gt;"",'Per9'!B61,"")</f>
        <v>#REF!</v>
      </c>
      <c r="C61" s="367"/>
      <c r="D61" s="129" t="e">
        <f>IF('Per9'!D61&lt;&gt;"",'Per9'!D61,"")</f>
        <v>#REF!</v>
      </c>
      <c r="E61" s="124" t="e">
        <f>'Per9'!E61</f>
        <v>#REF!</v>
      </c>
      <c r="F61" s="54" t="e">
        <f>'Per9'!F61</f>
        <v>#REF!</v>
      </c>
      <c r="G61" s="368" t="e">
        <f>IF(E61="Hourly",ROUND('Per9'!G61*1.03,2),ROUND('Per9'!G61*1.03,0))</f>
        <v>#REF!</v>
      </c>
      <c r="H61" s="369"/>
      <c r="I61" s="8"/>
      <c r="J61" s="59"/>
      <c r="K61" s="9" t="e">
        <f t="shared" si="4"/>
        <v>#REF!</v>
      </c>
      <c r="L61" s="10" t="e">
        <f t="shared" si="0"/>
        <v>#REF!</v>
      </c>
      <c r="M61" s="45" t="e">
        <f t="shared" si="1"/>
        <v>#REF!</v>
      </c>
      <c r="N61" s="45" t="e">
        <f t="shared" si="2"/>
        <v>#REF!</v>
      </c>
      <c r="O61" s="11" t="e">
        <f t="shared" si="3"/>
        <v>#REF!</v>
      </c>
      <c r="P61" s="74"/>
      <c r="Q61" s="17"/>
      <c r="S61" s="3"/>
    </row>
    <row r="62" spans="1:19" ht="13.5" hidden="1" customHeight="1" x14ac:dyDescent="0.2">
      <c r="A62" s="362"/>
      <c r="B62" s="367" t="e">
        <f>IF('Per9'!B62&lt;&gt;"",'Per9'!B62,"")</f>
        <v>#REF!</v>
      </c>
      <c r="C62" s="367"/>
      <c r="D62" s="129" t="e">
        <f>IF('Per9'!D62&lt;&gt;"",'Per9'!D62,"")</f>
        <v>#REF!</v>
      </c>
      <c r="E62" s="124" t="e">
        <f>'Per9'!E62</f>
        <v>#REF!</v>
      </c>
      <c r="F62" s="54" t="e">
        <f>'Per9'!F62</f>
        <v>#REF!</v>
      </c>
      <c r="G62" s="368" t="e">
        <f>IF(E62="Hourly",ROUND('Per9'!G62*1.03,2),ROUND('Per9'!G62*1.03,0))</f>
        <v>#REF!</v>
      </c>
      <c r="H62" s="369"/>
      <c r="I62" s="8"/>
      <c r="J62" s="59"/>
      <c r="K62" s="9" t="e">
        <f t="shared" si="4"/>
        <v>#REF!</v>
      </c>
      <c r="L62" s="10" t="e">
        <f t="shared" si="0"/>
        <v>#REF!</v>
      </c>
      <c r="M62" s="45" t="e">
        <f t="shared" si="1"/>
        <v>#REF!</v>
      </c>
      <c r="N62" s="45" t="e">
        <f t="shared" si="2"/>
        <v>#REF!</v>
      </c>
      <c r="O62" s="11" t="e">
        <f t="shared" si="3"/>
        <v>#REF!</v>
      </c>
      <c r="P62" s="74"/>
      <c r="S62" s="3"/>
    </row>
    <row r="63" spans="1:19" ht="13.5" hidden="1" customHeight="1" thickBot="1" x14ac:dyDescent="0.25">
      <c r="A63" s="362"/>
      <c r="B63" s="367" t="e">
        <f>IF('Per9'!B63&lt;&gt;"",'Per9'!B63,"")</f>
        <v>#REF!</v>
      </c>
      <c r="C63" s="367"/>
      <c r="D63" s="129" t="e">
        <f>IF('Per9'!D63&lt;&gt;"",'Per9'!D63,"")</f>
        <v>#REF!</v>
      </c>
      <c r="E63" s="124" t="e">
        <f>'Per9'!E63</f>
        <v>#REF!</v>
      </c>
      <c r="F63" s="54" t="e">
        <f>'Per9'!F63</f>
        <v>#REF!</v>
      </c>
      <c r="G63" s="368" t="e">
        <f>IF(E63="Hourly",ROUND('Per9'!G63*1.03,2),ROUND('Per9'!G63*1.03,0))</f>
        <v>#REF!</v>
      </c>
      <c r="H63" s="369"/>
      <c r="I63" s="8"/>
      <c r="J63" s="59"/>
      <c r="K63" s="9" t="e">
        <f t="shared" si="4"/>
        <v>#REF!</v>
      </c>
      <c r="L63" s="10" t="e">
        <f t="shared" si="0"/>
        <v>#REF!</v>
      </c>
      <c r="M63" s="45" t="e">
        <f t="shared" si="1"/>
        <v>#REF!</v>
      </c>
      <c r="N63" s="45" t="e">
        <f t="shared" si="2"/>
        <v>#REF!</v>
      </c>
      <c r="O63" s="11" t="e">
        <f t="shared" si="3"/>
        <v>#REF!</v>
      </c>
      <c r="P63" s="74"/>
      <c r="S63" s="3"/>
    </row>
    <row r="64" spans="1:19" ht="13.5" customHeight="1" x14ac:dyDescent="0.2">
      <c r="A64" s="362"/>
      <c r="B64" s="372" t="s">
        <v>24</v>
      </c>
      <c r="C64" s="372"/>
      <c r="D64" s="372"/>
      <c r="E64" s="372"/>
      <c r="F64" s="372"/>
      <c r="G64" s="372"/>
      <c r="H64" s="372"/>
      <c r="I64" s="372"/>
      <c r="J64" s="372"/>
      <c r="K64" s="372"/>
      <c r="L64" s="372"/>
      <c r="M64" s="372"/>
      <c r="N64" s="50" t="s">
        <v>0</v>
      </c>
      <c r="O64" s="20">
        <f>SUM(O65:O66)</f>
        <v>0</v>
      </c>
      <c r="P64" s="75"/>
    </row>
    <row r="65" spans="1:17" ht="13.5" customHeight="1" x14ac:dyDescent="0.2">
      <c r="A65" s="362"/>
      <c r="B65" s="367" t="s">
        <v>33</v>
      </c>
      <c r="C65" s="367"/>
      <c r="D65" s="367"/>
      <c r="E65" s="367"/>
      <c r="F65" s="367"/>
      <c r="G65" s="367"/>
      <c r="H65" s="367"/>
      <c r="I65" s="367"/>
      <c r="J65" s="367"/>
      <c r="K65" s="367"/>
      <c r="L65" s="367"/>
      <c r="M65" s="367"/>
      <c r="N65" s="370"/>
      <c r="O65" s="14"/>
      <c r="P65" s="76"/>
    </row>
    <row r="66" spans="1:17" ht="13.5" customHeight="1" thickBot="1" x14ac:dyDescent="0.25">
      <c r="A66" s="362"/>
      <c r="B66" s="367" t="s">
        <v>48</v>
      </c>
      <c r="C66" s="367"/>
      <c r="D66" s="367"/>
      <c r="E66" s="367"/>
      <c r="F66" s="367"/>
      <c r="G66" s="367"/>
      <c r="H66" s="367"/>
      <c r="I66" s="367"/>
      <c r="J66" s="367"/>
      <c r="K66" s="367"/>
      <c r="L66" s="367"/>
      <c r="M66" s="367"/>
      <c r="N66" s="370"/>
      <c r="O66" s="51"/>
      <c r="P66" s="76"/>
    </row>
    <row r="67" spans="1:17" ht="13.5" customHeight="1" x14ac:dyDescent="0.2">
      <c r="A67" s="362"/>
      <c r="B67" s="372" t="s">
        <v>52</v>
      </c>
      <c r="C67" s="372"/>
      <c r="D67" s="372"/>
      <c r="E67" s="372"/>
      <c r="F67" s="372"/>
      <c r="G67" s="372"/>
      <c r="H67" s="372"/>
      <c r="I67" s="372"/>
      <c r="J67" s="372"/>
      <c r="K67" s="372"/>
      <c r="L67" s="372"/>
      <c r="M67" s="372"/>
      <c r="N67" s="50" t="s">
        <v>0</v>
      </c>
      <c r="O67" s="20">
        <f>SUM(O68:O77)</f>
        <v>0</v>
      </c>
      <c r="P67" s="75"/>
    </row>
    <row r="68" spans="1:17" ht="13.5" customHeight="1" x14ac:dyDescent="0.2">
      <c r="A68" s="362"/>
      <c r="B68" s="367" t="s">
        <v>34</v>
      </c>
      <c r="C68" s="367"/>
      <c r="D68" s="367"/>
      <c r="E68" s="367"/>
      <c r="F68" s="367"/>
      <c r="G68" s="367"/>
      <c r="H68" s="367"/>
      <c r="I68" s="367"/>
      <c r="J68" s="367"/>
      <c r="K68" s="367"/>
      <c r="L68" s="367"/>
      <c r="M68" s="367"/>
      <c r="N68" s="370"/>
      <c r="O68" s="14"/>
      <c r="P68" s="76"/>
    </row>
    <row r="69" spans="1:17" ht="13.5" customHeight="1" x14ac:dyDescent="0.2">
      <c r="A69" s="362"/>
      <c r="B69" s="367" t="s">
        <v>44</v>
      </c>
      <c r="C69" s="367"/>
      <c r="D69" s="367"/>
      <c r="E69" s="367"/>
      <c r="F69" s="367"/>
      <c r="G69" s="367"/>
      <c r="H69" s="367"/>
      <c r="I69" s="367"/>
      <c r="J69" s="367"/>
      <c r="K69" s="367"/>
      <c r="L69" s="367"/>
      <c r="M69" s="367"/>
      <c r="N69" s="370"/>
      <c r="O69" s="16"/>
      <c r="P69" s="76"/>
    </row>
    <row r="70" spans="1:17" ht="13.5" customHeight="1" x14ac:dyDescent="0.2">
      <c r="A70" s="362"/>
      <c r="B70" s="367" t="s">
        <v>27</v>
      </c>
      <c r="C70" s="367"/>
      <c r="D70" s="367"/>
      <c r="E70" s="367"/>
      <c r="F70" s="367"/>
      <c r="G70" s="367"/>
      <c r="H70" s="367"/>
      <c r="I70" s="367"/>
      <c r="J70" s="367"/>
      <c r="K70" s="367"/>
      <c r="L70" s="367"/>
      <c r="M70" s="367"/>
      <c r="N70" s="370"/>
      <c r="O70" s="16"/>
      <c r="P70" s="76"/>
    </row>
    <row r="71" spans="1:17" ht="13.5" customHeight="1" x14ac:dyDescent="0.2">
      <c r="A71" s="362"/>
      <c r="B71" s="367" t="s">
        <v>35</v>
      </c>
      <c r="C71" s="367"/>
      <c r="D71" s="367"/>
      <c r="E71" s="367"/>
      <c r="F71" s="367"/>
      <c r="G71" s="367"/>
      <c r="H71" s="367"/>
      <c r="I71" s="367"/>
      <c r="J71" s="367"/>
      <c r="K71" s="367"/>
      <c r="L71" s="367"/>
      <c r="M71" s="367"/>
      <c r="N71" s="370"/>
      <c r="O71" s="16"/>
      <c r="P71" s="76"/>
    </row>
    <row r="72" spans="1:17" ht="13.5" customHeight="1" x14ac:dyDescent="0.2">
      <c r="A72" s="362"/>
      <c r="B72" s="47" t="s">
        <v>49</v>
      </c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8"/>
      <c r="O72" s="16"/>
      <c r="P72" s="76"/>
    </row>
    <row r="73" spans="1:17" ht="13.5" customHeight="1" x14ac:dyDescent="0.2">
      <c r="A73" s="362"/>
      <c r="B73" s="47" t="s">
        <v>50</v>
      </c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8"/>
      <c r="O73" s="16"/>
      <c r="P73" s="76"/>
    </row>
    <row r="74" spans="1:17" ht="13.5" customHeight="1" x14ac:dyDescent="0.2">
      <c r="A74" s="362"/>
      <c r="B74" s="371" t="s">
        <v>181</v>
      </c>
      <c r="C74" s="367"/>
      <c r="D74" s="367"/>
      <c r="E74" s="367"/>
      <c r="F74" s="367"/>
      <c r="G74" s="367"/>
      <c r="H74" s="367"/>
      <c r="I74" s="367"/>
      <c r="J74" s="367"/>
      <c r="K74" s="367"/>
      <c r="L74" s="367"/>
      <c r="M74" s="367"/>
      <c r="N74" s="370"/>
      <c r="O74" s="15"/>
      <c r="P74" s="76"/>
      <c r="Q74" s="17" t="s">
        <v>212</v>
      </c>
    </row>
    <row r="75" spans="1:17" ht="13.5" customHeight="1" x14ac:dyDescent="0.2">
      <c r="A75" s="362"/>
      <c r="B75" s="367" t="s">
        <v>80</v>
      </c>
      <c r="C75" s="367"/>
      <c r="D75" s="367"/>
      <c r="E75" s="367"/>
      <c r="F75" s="367"/>
      <c r="G75" s="367"/>
      <c r="H75" s="367"/>
      <c r="I75" s="367"/>
      <c r="J75" s="367"/>
      <c r="K75" s="367"/>
      <c r="L75" s="367"/>
      <c r="M75" s="367"/>
      <c r="N75" s="370"/>
      <c r="O75" s="15"/>
      <c r="P75" s="76"/>
    </row>
    <row r="76" spans="1:17" ht="13.5" customHeight="1" x14ac:dyDescent="0.2">
      <c r="A76" s="362"/>
      <c r="B76" s="379" t="s">
        <v>76</v>
      </c>
      <c r="C76" s="380"/>
      <c r="D76" s="380"/>
      <c r="E76" s="380"/>
      <c r="F76" s="380"/>
      <c r="G76" s="380"/>
      <c r="H76" s="380"/>
      <c r="I76" s="380"/>
      <c r="J76" s="380"/>
      <c r="K76" s="380"/>
      <c r="L76" s="380"/>
      <c r="M76" s="380"/>
      <c r="N76" s="380"/>
      <c r="O76" s="125"/>
      <c r="P76" s="76"/>
    </row>
    <row r="77" spans="1:17" ht="13.5" customHeight="1" thickBot="1" x14ac:dyDescent="0.25">
      <c r="A77" s="363"/>
      <c r="B77" s="381" t="s">
        <v>188</v>
      </c>
      <c r="C77" s="373"/>
      <c r="D77" s="373"/>
      <c r="E77" s="373"/>
      <c r="F77" s="373"/>
      <c r="G77" s="373"/>
      <c r="H77" s="373"/>
      <c r="I77" s="373"/>
      <c r="J77" s="373"/>
      <c r="K77" s="373"/>
      <c r="L77" s="373"/>
      <c r="M77" s="373"/>
      <c r="N77" s="374"/>
      <c r="O77" s="19"/>
      <c r="P77" s="76"/>
    </row>
    <row r="78" spans="1:17" ht="18" customHeight="1" thickBot="1" x14ac:dyDescent="0.25">
      <c r="A78" s="382"/>
      <c r="B78" s="382"/>
      <c r="C78" s="382"/>
      <c r="D78" s="382"/>
      <c r="E78" s="382"/>
      <c r="F78" s="382"/>
      <c r="G78" s="382"/>
      <c r="H78" s="382"/>
      <c r="I78" s="382"/>
      <c r="J78" s="382"/>
      <c r="K78" s="382"/>
      <c r="L78" s="382"/>
      <c r="M78" s="382"/>
      <c r="N78" s="382"/>
      <c r="O78" s="382"/>
      <c r="P78" s="77"/>
    </row>
    <row r="79" spans="1:17" ht="13.5" customHeight="1" x14ac:dyDescent="0.2">
      <c r="A79" s="361" t="s">
        <v>39</v>
      </c>
      <c r="B79" s="383" t="s">
        <v>64</v>
      </c>
      <c r="C79" s="383"/>
      <c r="D79" s="383"/>
      <c r="E79" s="383"/>
      <c r="F79" s="383"/>
      <c r="G79" s="383"/>
      <c r="H79" s="383"/>
      <c r="I79" s="383"/>
      <c r="J79" s="383"/>
      <c r="K79" s="383"/>
      <c r="L79" s="383"/>
      <c r="M79" s="383"/>
      <c r="N79" s="50" t="s">
        <v>0</v>
      </c>
      <c r="O79" s="20">
        <f>SUM(O80:O82)</f>
        <v>0</v>
      </c>
      <c r="P79" s="75"/>
    </row>
    <row r="80" spans="1:17" ht="13.5" customHeight="1" x14ac:dyDescent="0.2">
      <c r="A80" s="362"/>
      <c r="B80" s="367" t="s">
        <v>16</v>
      </c>
      <c r="C80" s="367"/>
      <c r="D80" s="367"/>
      <c r="E80" s="367"/>
      <c r="F80" s="367"/>
      <c r="G80" s="367"/>
      <c r="H80" s="367"/>
      <c r="I80" s="367"/>
      <c r="J80" s="367"/>
      <c r="K80" s="367"/>
      <c r="L80" s="367"/>
      <c r="M80" s="367"/>
      <c r="N80" s="370"/>
      <c r="O80" s="18"/>
      <c r="P80" s="76"/>
    </row>
    <row r="81" spans="1:17" ht="13.5" customHeight="1" x14ac:dyDescent="0.2">
      <c r="A81" s="362"/>
      <c r="B81" s="367" t="s">
        <v>17</v>
      </c>
      <c r="C81" s="367"/>
      <c r="D81" s="367"/>
      <c r="E81" s="367"/>
      <c r="F81" s="367"/>
      <c r="G81" s="367"/>
      <c r="H81" s="367"/>
      <c r="I81" s="367"/>
      <c r="J81" s="367"/>
      <c r="K81" s="367"/>
      <c r="L81" s="367"/>
      <c r="M81" s="367"/>
      <c r="N81" s="370"/>
      <c r="O81" s="12"/>
      <c r="P81" s="76"/>
    </row>
    <row r="82" spans="1:17" ht="13.5" customHeight="1" thickBot="1" x14ac:dyDescent="0.25">
      <c r="A82" s="362"/>
      <c r="B82" s="373" t="s">
        <v>18</v>
      </c>
      <c r="C82" s="373"/>
      <c r="D82" s="373"/>
      <c r="E82" s="373"/>
      <c r="F82" s="373"/>
      <c r="G82" s="373"/>
      <c r="H82" s="373"/>
      <c r="I82" s="373"/>
      <c r="J82" s="373"/>
      <c r="K82" s="373"/>
      <c r="L82" s="373"/>
      <c r="M82" s="373"/>
      <c r="N82" s="374"/>
      <c r="O82" s="13"/>
      <c r="P82" s="76"/>
    </row>
    <row r="83" spans="1:17" ht="13.5" customHeight="1" x14ac:dyDescent="0.2">
      <c r="A83" s="362"/>
      <c r="B83" s="372" t="s">
        <v>51</v>
      </c>
      <c r="C83" s="372"/>
      <c r="D83" s="372"/>
      <c r="E83" s="372"/>
      <c r="F83" s="372"/>
      <c r="G83" s="372"/>
      <c r="H83" s="372"/>
      <c r="I83" s="372"/>
      <c r="J83" s="372"/>
      <c r="K83" s="372"/>
      <c r="L83" s="372"/>
      <c r="M83" s="372"/>
      <c r="N83" s="50" t="s">
        <v>0</v>
      </c>
      <c r="O83" s="20">
        <f>SUM(O84:O87)</f>
        <v>0</v>
      </c>
      <c r="P83" s="75"/>
    </row>
    <row r="84" spans="1:17" ht="13.5" customHeight="1" x14ac:dyDescent="0.2">
      <c r="A84" s="362"/>
      <c r="B84" s="384" t="s">
        <v>28</v>
      </c>
      <c r="C84" s="384"/>
      <c r="D84" s="384"/>
      <c r="E84" s="384"/>
      <c r="F84" s="384"/>
      <c r="G84" s="384"/>
      <c r="H84" s="384"/>
      <c r="I84" s="384"/>
      <c r="J84" s="384"/>
      <c r="K84" s="384"/>
      <c r="L84" s="384"/>
      <c r="M84" s="384"/>
      <c r="N84" s="385"/>
      <c r="O84" s="14"/>
      <c r="P84" s="76"/>
    </row>
    <row r="85" spans="1:17" ht="13.5" customHeight="1" x14ac:dyDescent="0.2">
      <c r="A85" s="362"/>
      <c r="B85" s="367" t="s">
        <v>29</v>
      </c>
      <c r="C85" s="367"/>
      <c r="D85" s="367"/>
      <c r="E85" s="367"/>
      <c r="F85" s="367"/>
      <c r="G85" s="367"/>
      <c r="H85" s="367"/>
      <c r="I85" s="367"/>
      <c r="J85" s="367"/>
      <c r="K85" s="367"/>
      <c r="L85" s="367"/>
      <c r="M85" s="367"/>
      <c r="N85" s="370"/>
      <c r="O85" s="16"/>
      <c r="P85" s="76"/>
      <c r="Q85" s="17" t="s">
        <v>211</v>
      </c>
    </row>
    <row r="86" spans="1:17" ht="13.5" customHeight="1" x14ac:dyDescent="0.2">
      <c r="A86" s="362"/>
      <c r="B86" s="367" t="s">
        <v>47</v>
      </c>
      <c r="C86" s="367"/>
      <c r="D86" s="367"/>
      <c r="E86" s="367"/>
      <c r="F86" s="367"/>
      <c r="G86" s="367"/>
      <c r="H86" s="367"/>
      <c r="I86" s="367"/>
      <c r="J86" s="367"/>
      <c r="K86" s="367"/>
      <c r="L86" s="367"/>
      <c r="M86" s="367"/>
      <c r="N86" s="370"/>
      <c r="O86" s="16"/>
      <c r="P86" s="76"/>
    </row>
    <row r="87" spans="1:17" ht="13.5" customHeight="1" thickBot="1" x14ac:dyDescent="0.25">
      <c r="A87" s="362"/>
      <c r="B87" s="373" t="s">
        <v>30</v>
      </c>
      <c r="C87" s="373"/>
      <c r="D87" s="373"/>
      <c r="E87" s="373"/>
      <c r="F87" s="373"/>
      <c r="G87" s="373"/>
      <c r="H87" s="373"/>
      <c r="I87" s="373"/>
      <c r="J87" s="373"/>
      <c r="K87" s="373"/>
      <c r="L87" s="373"/>
      <c r="M87" s="373"/>
      <c r="N87" s="374"/>
      <c r="O87" s="19"/>
      <c r="P87" s="76"/>
      <c r="Q87" s="17" t="s">
        <v>213</v>
      </c>
    </row>
    <row r="88" spans="1:17" ht="13.5" customHeight="1" x14ac:dyDescent="0.2">
      <c r="A88" s="362"/>
      <c r="B88" s="375" t="s">
        <v>53</v>
      </c>
      <c r="C88" s="375"/>
      <c r="D88" s="375"/>
      <c r="E88" s="375"/>
      <c r="F88" s="375"/>
      <c r="G88" s="375"/>
      <c r="H88" s="375"/>
      <c r="I88" s="375"/>
      <c r="J88" s="375"/>
      <c r="K88" s="375"/>
      <c r="L88" s="375"/>
      <c r="M88" s="375"/>
      <c r="N88" s="50" t="s">
        <v>0</v>
      </c>
      <c r="O88" s="21">
        <f>SUM(O89:O94)</f>
        <v>0</v>
      </c>
      <c r="P88" s="75"/>
    </row>
    <row r="89" spans="1:17" ht="13.5" customHeight="1" x14ac:dyDescent="0.2">
      <c r="A89" s="362"/>
      <c r="B89" s="376" t="s">
        <v>199</v>
      </c>
      <c r="C89" s="377"/>
      <c r="D89" s="377"/>
      <c r="E89" s="377"/>
      <c r="F89" s="377"/>
      <c r="G89" s="377"/>
      <c r="H89" s="377"/>
      <c r="I89" s="377"/>
      <c r="J89" s="377"/>
      <c r="K89" s="377"/>
      <c r="L89" s="377"/>
      <c r="M89" s="377"/>
      <c r="N89" s="378"/>
      <c r="O89" s="154"/>
      <c r="P89" s="75"/>
      <c r="Q89" s="195" t="s">
        <v>214</v>
      </c>
    </row>
    <row r="90" spans="1:17" ht="13.5" customHeight="1" x14ac:dyDescent="0.2">
      <c r="A90" s="362"/>
      <c r="B90" s="367" t="s">
        <v>54</v>
      </c>
      <c r="C90" s="367"/>
      <c r="D90" s="367"/>
      <c r="E90" s="367"/>
      <c r="F90" s="367"/>
      <c r="G90" s="367"/>
      <c r="H90" s="367"/>
      <c r="I90" s="367"/>
      <c r="J90" s="367"/>
      <c r="K90" s="367"/>
      <c r="L90" s="367"/>
      <c r="M90" s="367"/>
      <c r="N90" s="370"/>
      <c r="O90" s="16"/>
      <c r="P90" s="76"/>
    </row>
    <row r="91" spans="1:17" ht="13.5" customHeight="1" x14ac:dyDescent="0.2">
      <c r="A91" s="362"/>
      <c r="B91" s="367" t="s">
        <v>55</v>
      </c>
      <c r="C91" s="367"/>
      <c r="D91" s="367"/>
      <c r="E91" s="367"/>
      <c r="F91" s="367"/>
      <c r="G91" s="367"/>
      <c r="H91" s="367"/>
      <c r="I91" s="367"/>
      <c r="J91" s="367"/>
      <c r="K91" s="367"/>
      <c r="L91" s="367"/>
      <c r="M91" s="367"/>
      <c r="N91" s="370"/>
      <c r="O91" s="15"/>
      <c r="P91" s="76"/>
    </row>
    <row r="92" spans="1:17" ht="13.5" customHeight="1" x14ac:dyDescent="0.2">
      <c r="A92" s="362"/>
      <c r="B92" s="371" t="s">
        <v>32</v>
      </c>
      <c r="C92" s="367"/>
      <c r="D92" s="367"/>
      <c r="E92" s="367"/>
      <c r="F92" s="367"/>
      <c r="G92" s="367"/>
      <c r="H92" s="367"/>
      <c r="I92" s="367"/>
      <c r="J92" s="367"/>
      <c r="K92" s="367"/>
      <c r="L92" s="367"/>
      <c r="M92" s="367"/>
      <c r="N92" s="370"/>
      <c r="O92" s="15"/>
      <c r="P92" s="76"/>
    </row>
    <row r="93" spans="1:17" ht="13.5" customHeight="1" x14ac:dyDescent="0.2">
      <c r="A93" s="362"/>
      <c r="B93" s="371" t="s">
        <v>81</v>
      </c>
      <c r="C93" s="367"/>
      <c r="D93" s="367"/>
      <c r="E93" s="367"/>
      <c r="F93" s="367"/>
      <c r="G93" s="367"/>
      <c r="H93" s="367"/>
      <c r="I93" s="367"/>
      <c r="J93" s="367"/>
      <c r="K93" s="367"/>
      <c r="L93" s="367"/>
      <c r="M93" s="367"/>
      <c r="N93" s="370"/>
      <c r="O93" s="15"/>
      <c r="P93" s="76"/>
    </row>
    <row r="94" spans="1:17" ht="13.5" customHeight="1" thickBot="1" x14ac:dyDescent="0.25">
      <c r="A94" s="363"/>
      <c r="B94" s="381" t="s">
        <v>188</v>
      </c>
      <c r="C94" s="373"/>
      <c r="D94" s="373"/>
      <c r="E94" s="373"/>
      <c r="F94" s="373"/>
      <c r="G94" s="373"/>
      <c r="H94" s="373"/>
      <c r="I94" s="373"/>
      <c r="J94" s="373"/>
      <c r="K94" s="373"/>
      <c r="L94" s="373"/>
      <c r="M94" s="373"/>
      <c r="N94" s="374"/>
      <c r="O94" s="22"/>
      <c r="P94" s="76"/>
    </row>
    <row r="95" spans="1:17" ht="18" customHeight="1" thickBot="1" x14ac:dyDescent="0.25">
      <c r="A95" s="31"/>
      <c r="B95" s="386"/>
      <c r="C95" s="386"/>
      <c r="D95" s="386"/>
      <c r="E95" s="386"/>
      <c r="F95" s="386"/>
      <c r="G95" s="386"/>
      <c r="H95" s="386"/>
      <c r="I95" s="386"/>
      <c r="J95" s="386"/>
      <c r="K95" s="386"/>
      <c r="L95" s="386"/>
      <c r="M95" s="386"/>
      <c r="N95" s="386"/>
      <c r="O95" s="386"/>
      <c r="P95" s="78"/>
    </row>
    <row r="96" spans="1:17" ht="13.5" customHeight="1" x14ac:dyDescent="0.2">
      <c r="A96" s="361" t="s">
        <v>41</v>
      </c>
      <c r="B96" s="387" t="s">
        <v>42</v>
      </c>
      <c r="C96" s="388"/>
      <c r="D96" s="388"/>
      <c r="E96" s="388"/>
      <c r="F96" s="388"/>
      <c r="G96" s="388"/>
      <c r="H96" s="388"/>
      <c r="I96" s="388"/>
      <c r="J96" s="388"/>
      <c r="K96" s="388"/>
      <c r="L96" s="388"/>
      <c r="M96" s="388"/>
      <c r="N96" s="102" t="s">
        <v>20</v>
      </c>
      <c r="O96" s="103">
        <f>J118</f>
        <v>0</v>
      </c>
      <c r="P96" s="74"/>
    </row>
    <row r="97" spans="1:17" ht="26.25" customHeight="1" x14ac:dyDescent="0.2">
      <c r="A97" s="362"/>
      <c r="B97" s="389" t="s">
        <v>59</v>
      </c>
      <c r="C97" s="49" t="s">
        <v>25</v>
      </c>
      <c r="D97" s="49"/>
      <c r="E97" s="49"/>
      <c r="F97" s="392" t="s">
        <v>177</v>
      </c>
      <c r="G97" s="393"/>
      <c r="H97" s="394" t="s">
        <v>178</v>
      </c>
      <c r="I97" s="394"/>
      <c r="J97" s="134" t="s">
        <v>179</v>
      </c>
      <c r="K97" s="150" t="s">
        <v>197</v>
      </c>
      <c r="L97" s="151" t="s">
        <v>57</v>
      </c>
      <c r="M97" s="44" t="s">
        <v>56</v>
      </c>
      <c r="N97" s="392" t="s">
        <v>180</v>
      </c>
      <c r="O97" s="401"/>
    </row>
    <row r="98" spans="1:17" ht="13.5" customHeight="1" x14ac:dyDescent="0.2">
      <c r="A98" s="362"/>
      <c r="B98" s="390"/>
      <c r="C98" s="395" t="e">
        <f>IF('Per9'!C98&lt;&gt;"",'Per9'!C98,"")</f>
        <v>#REF!</v>
      </c>
      <c r="D98" s="396"/>
      <c r="E98" s="397"/>
      <c r="F98" s="398">
        <v>0</v>
      </c>
      <c r="G98" s="398"/>
      <c r="H98" s="398"/>
      <c r="I98" s="398"/>
      <c r="J98" s="135">
        <f>F98+H98</f>
        <v>0</v>
      </c>
      <c r="K98" s="132" t="e">
        <f>IF((J98+'Period 1'!#REF!+#REF!+#REF!+#REF!+#REF!+'Per6'!J98+'Per7'!J98+'Per8'!J98+'Per9'!J98)&lt;=24999,J98, 25000-'Period 1'!#REF!-#REF!-#REF!-#REF!-#REF!-'Per6'!K98-'Per7'!K98-'Per8'!K98-'Per9'!K98)</f>
        <v>#REF!</v>
      </c>
      <c r="L98" s="32" t="e">
        <f>F98+H98-K98</f>
        <v>#REF!</v>
      </c>
      <c r="M98" s="32" t="e">
        <f>ROUND(IF(($L$7-VLOOKUP($G$120,$I$121:$K$135,3,FALSE))&lt;0,$K98,ROUND((1-($L$7-VLOOKUP($G$120,$I$121:$K$135,3,FALSE))/($L$7 +1 - $L$5))*$K98,0))*M$140,0) +ROUND(IF(($L$7-VLOOKUP($G$120,$I$121:$K$135,3,FALSE))&lt;0,0,ROUND(($L$7-VLOOKUP($G$120,$I$121:$K$135,3,FALSE))/($L$7 +1 - $L$5)*$K98,0))*M$141,0)</f>
        <v>#REF!</v>
      </c>
      <c r="N98" s="399" t="e">
        <f>K98+L98+M98</f>
        <v>#REF!</v>
      </c>
      <c r="O98" s="400"/>
    </row>
    <row r="99" spans="1:17" ht="13.5" customHeight="1" x14ac:dyDescent="0.2">
      <c r="A99" s="362"/>
      <c r="B99" s="390"/>
      <c r="C99" s="395" t="e">
        <f>IF('Per9'!C99&lt;&gt;"",'Per9'!C99,"")</f>
        <v>#REF!</v>
      </c>
      <c r="D99" s="396"/>
      <c r="E99" s="397"/>
      <c r="F99" s="398"/>
      <c r="G99" s="398"/>
      <c r="H99" s="398"/>
      <c r="I99" s="398"/>
      <c r="J99" s="135">
        <f t="shared" ref="J99:J117" si="5">F99+H99</f>
        <v>0</v>
      </c>
      <c r="K99" s="132" t="e">
        <f>IF((J99+'Period 1'!#REF!+#REF!+#REF!+#REF!+#REF!+'Per6'!J99+'Per7'!J99+'Per8'!J99+'Per9'!J99)&lt;=24999,J99, 25000-'Period 1'!#REF!-#REF!-#REF!-#REF!-#REF!-'Per6'!K99-'Per7'!K99-'Per8'!K99-'Per9'!K99)</f>
        <v>#REF!</v>
      </c>
      <c r="L99" s="32" t="e">
        <f>F99+H99-K99</f>
        <v>#REF!</v>
      </c>
      <c r="M99" s="32" t="e">
        <f t="shared" ref="M99:M117" si="6">ROUND(IF(($L$7-VLOOKUP($G$120,$I$121:$K$135,3,FALSE))&lt;0,$K99,ROUND((1-($L$7-VLOOKUP($G$120,$I$121:$K$135,3,FALSE))/($L$7 +1 - $L$5))*$K99,0))*M$140,0) +ROUND(IF(($L$7-VLOOKUP($G$120,$I$121:$K$135,3,FALSE))&lt;0,0,ROUND(($L$7-VLOOKUP($G$120,$I$121:$K$135,3,FALSE))/($L$7 +1 - $L$5)*$K99,0))*M$141,0)</f>
        <v>#REF!</v>
      </c>
      <c r="N99" s="399" t="e">
        <f t="shared" ref="N99:N117" si="7">K99+L99+M99</f>
        <v>#REF!</v>
      </c>
      <c r="O99" s="400"/>
    </row>
    <row r="100" spans="1:17" ht="13.5" customHeight="1" x14ac:dyDescent="0.2">
      <c r="A100" s="362"/>
      <c r="B100" s="390"/>
      <c r="C100" s="395" t="e">
        <f>IF('Per9'!C100&lt;&gt;"",'Per9'!C100,"")</f>
        <v>#REF!</v>
      </c>
      <c r="D100" s="396"/>
      <c r="E100" s="397"/>
      <c r="F100" s="398"/>
      <c r="G100" s="398"/>
      <c r="H100" s="398"/>
      <c r="I100" s="398"/>
      <c r="J100" s="135">
        <f t="shared" si="5"/>
        <v>0</v>
      </c>
      <c r="K100" s="132" t="e">
        <f>IF((J100+'Period 1'!#REF!+#REF!+#REF!+#REF!+#REF!+'Per6'!J100+'Per7'!J100+'Per8'!J100+'Per9'!J100)&lt;=24999,J100, 25000-'Period 1'!#REF!-#REF!-#REF!-#REF!-#REF!-'Per6'!K100-'Per7'!K100-'Per8'!K100-'Per9'!K100)</f>
        <v>#REF!</v>
      </c>
      <c r="L100" s="32" t="e">
        <f>F100+H100-K100</f>
        <v>#REF!</v>
      </c>
      <c r="M100" s="32" t="e">
        <f t="shared" si="6"/>
        <v>#REF!</v>
      </c>
      <c r="N100" s="399" t="e">
        <f t="shared" si="7"/>
        <v>#REF!</v>
      </c>
      <c r="O100" s="400"/>
    </row>
    <row r="101" spans="1:17" ht="13.5" customHeight="1" x14ac:dyDescent="0.2">
      <c r="A101" s="362"/>
      <c r="B101" s="390"/>
      <c r="C101" s="395" t="e">
        <f>IF('Per9'!C101&lt;&gt;"",'Per9'!C101,"")</f>
        <v>#REF!</v>
      </c>
      <c r="D101" s="396"/>
      <c r="E101" s="397"/>
      <c r="F101" s="398"/>
      <c r="G101" s="398"/>
      <c r="H101" s="398"/>
      <c r="I101" s="398"/>
      <c r="J101" s="135">
        <f t="shared" si="5"/>
        <v>0</v>
      </c>
      <c r="K101" s="132" t="e">
        <f>IF((J101+'Period 1'!#REF!+#REF!+#REF!+#REF!+#REF!+'Per6'!J101+'Per7'!J101+'Per8'!J101+'Per9'!J101)&lt;=24999,J101, 25000-'Period 1'!#REF!-#REF!-#REF!-#REF!-#REF!-'Per6'!K101-'Per7'!K101-'Per8'!K101-'Per9'!K101)</f>
        <v>#REF!</v>
      </c>
      <c r="L101" s="32" t="e">
        <f>F101+H101-K101</f>
        <v>#REF!</v>
      </c>
      <c r="M101" s="32" t="e">
        <f t="shared" si="6"/>
        <v>#REF!</v>
      </c>
      <c r="N101" s="399" t="e">
        <f t="shared" si="7"/>
        <v>#REF!</v>
      </c>
      <c r="O101" s="400"/>
    </row>
    <row r="102" spans="1:17" ht="13.5" customHeight="1" thickBot="1" x14ac:dyDescent="0.25">
      <c r="A102" s="362"/>
      <c r="B102" s="390"/>
      <c r="C102" s="395" t="e">
        <f>IF('Per9'!C102&lt;&gt;"",'Per9'!C102,"")</f>
        <v>#REF!</v>
      </c>
      <c r="D102" s="396"/>
      <c r="E102" s="397"/>
      <c r="F102" s="404"/>
      <c r="G102" s="404"/>
      <c r="H102" s="404"/>
      <c r="I102" s="404"/>
      <c r="J102" s="136">
        <f t="shared" si="5"/>
        <v>0</v>
      </c>
      <c r="K102" s="132" t="e">
        <f>IF((J102+'Period 1'!#REF!+#REF!+#REF!+#REF!+#REF!+'Per6'!J102+'Per7'!J102+'Per8'!J102+'Per9'!J102)&lt;=24999,J102, 25000-'Period 1'!#REF!-#REF!-#REF!-#REF!-#REF!-'Per6'!K102-'Per7'!K102-'Per8'!K102-'Per9'!K102)</f>
        <v>#REF!</v>
      </c>
      <c r="L102" s="83" t="e">
        <f>F102+H102-K102</f>
        <v>#REF!</v>
      </c>
      <c r="M102" s="32" t="e">
        <f t="shared" si="6"/>
        <v>#REF!</v>
      </c>
      <c r="N102" s="405" t="e">
        <f t="shared" si="7"/>
        <v>#REF!</v>
      </c>
      <c r="O102" s="406"/>
      <c r="Q102" s="17" t="s">
        <v>215</v>
      </c>
    </row>
    <row r="103" spans="1:17" ht="13.5" hidden="1" customHeight="1" x14ac:dyDescent="0.2">
      <c r="A103" s="362"/>
      <c r="B103" s="390"/>
      <c r="C103" s="395" t="e">
        <f>IF('Per9'!C103&lt;&gt;"",'Per9'!C103,"")</f>
        <v>#REF!</v>
      </c>
      <c r="D103" s="396"/>
      <c r="E103" s="397"/>
      <c r="F103" s="402"/>
      <c r="G103" s="403"/>
      <c r="H103" s="402"/>
      <c r="I103" s="403"/>
      <c r="J103" s="136">
        <f t="shared" si="5"/>
        <v>0</v>
      </c>
      <c r="K103" s="132" t="e">
        <f>IF((J103+'Period 1'!#REF!+#REF!+#REF!+#REF!+#REF!+'Per6'!J103+'Per7'!J103+'Per8'!J103+'Per9'!J103)&lt;=24999,J103, 25000-'Period 1'!#REF!-#REF!-#REF!-#REF!-#REF!-'Per6'!K103-'Per7'!K103-'Per8'!K103-'Per9'!K103)</f>
        <v>#REF!</v>
      </c>
      <c r="L103" s="83" t="e">
        <f t="shared" ref="L103:L117" si="8">F103+H103-K103</f>
        <v>#REF!</v>
      </c>
      <c r="M103" s="32" t="e">
        <f t="shared" si="6"/>
        <v>#REF!</v>
      </c>
      <c r="N103" s="399" t="e">
        <f t="shared" si="7"/>
        <v>#REF!</v>
      </c>
      <c r="O103" s="400"/>
    </row>
    <row r="104" spans="1:17" ht="13.5" hidden="1" customHeight="1" x14ac:dyDescent="0.2">
      <c r="A104" s="362"/>
      <c r="B104" s="390"/>
      <c r="C104" s="395" t="e">
        <f>IF('Per9'!C104&lt;&gt;"",'Per9'!C104,"")</f>
        <v>#REF!</v>
      </c>
      <c r="D104" s="396"/>
      <c r="E104" s="397"/>
      <c r="F104" s="402"/>
      <c r="G104" s="403"/>
      <c r="H104" s="402"/>
      <c r="I104" s="403"/>
      <c r="J104" s="136">
        <f t="shared" si="5"/>
        <v>0</v>
      </c>
      <c r="K104" s="132" t="e">
        <f>IF((J104+'Period 1'!#REF!+#REF!+#REF!+#REF!+#REF!+'Per6'!J104+'Per7'!J104+'Per8'!J104+'Per9'!J104)&lt;=24999,J104, 25000-'Period 1'!#REF!-#REF!-#REF!-#REF!-#REF!-'Per6'!K104-'Per7'!K104-'Per8'!K104-'Per9'!K104)</f>
        <v>#REF!</v>
      </c>
      <c r="L104" s="83" t="e">
        <f t="shared" si="8"/>
        <v>#REF!</v>
      </c>
      <c r="M104" s="32" t="e">
        <f t="shared" si="6"/>
        <v>#REF!</v>
      </c>
      <c r="N104" s="399" t="e">
        <f t="shared" si="7"/>
        <v>#REF!</v>
      </c>
      <c r="O104" s="400"/>
    </row>
    <row r="105" spans="1:17" ht="13.5" hidden="1" customHeight="1" x14ac:dyDescent="0.2">
      <c r="A105" s="362"/>
      <c r="B105" s="390"/>
      <c r="C105" s="395" t="e">
        <f>IF('Per9'!C105&lt;&gt;"",'Per9'!C105,"")</f>
        <v>#REF!</v>
      </c>
      <c r="D105" s="396"/>
      <c r="E105" s="397"/>
      <c r="F105" s="402"/>
      <c r="G105" s="403"/>
      <c r="H105" s="402"/>
      <c r="I105" s="403"/>
      <c r="J105" s="136">
        <f t="shared" si="5"/>
        <v>0</v>
      </c>
      <c r="K105" s="132" t="e">
        <f>IF((J105+'Period 1'!#REF!+#REF!+#REF!+#REF!+#REF!+'Per6'!J105+'Per7'!J105+'Per8'!J105+'Per9'!J105)&lt;=24999,J105, 25000-'Period 1'!#REF!-#REF!-#REF!-#REF!-#REF!-'Per6'!K105-'Per7'!K105-'Per8'!K105-'Per9'!K105)</f>
        <v>#REF!</v>
      </c>
      <c r="L105" s="83" t="e">
        <f t="shared" si="8"/>
        <v>#REF!</v>
      </c>
      <c r="M105" s="32" t="e">
        <f t="shared" si="6"/>
        <v>#REF!</v>
      </c>
      <c r="N105" s="399" t="e">
        <f t="shared" si="7"/>
        <v>#REF!</v>
      </c>
      <c r="O105" s="400"/>
    </row>
    <row r="106" spans="1:17" ht="13.5" hidden="1" customHeight="1" x14ac:dyDescent="0.2">
      <c r="A106" s="362"/>
      <c r="B106" s="390"/>
      <c r="C106" s="395" t="e">
        <f>IF('Per9'!C106&lt;&gt;"",'Per9'!C106,"")</f>
        <v>#REF!</v>
      </c>
      <c r="D106" s="396"/>
      <c r="E106" s="397"/>
      <c r="F106" s="402"/>
      <c r="G106" s="403"/>
      <c r="H106" s="402"/>
      <c r="I106" s="403"/>
      <c r="J106" s="136">
        <f t="shared" si="5"/>
        <v>0</v>
      </c>
      <c r="K106" s="132" t="e">
        <f>IF((J106+'Period 1'!#REF!+#REF!+#REF!+#REF!+#REF!+'Per6'!J106+'Per7'!J106+'Per8'!J106+'Per9'!J106)&lt;=24999,J106, 25000-'Period 1'!#REF!-#REF!-#REF!-#REF!-#REF!-'Per6'!K106-'Per7'!K106-'Per8'!K106-'Per9'!K106)</f>
        <v>#REF!</v>
      </c>
      <c r="L106" s="83" t="e">
        <f t="shared" si="8"/>
        <v>#REF!</v>
      </c>
      <c r="M106" s="32" t="e">
        <f t="shared" si="6"/>
        <v>#REF!</v>
      </c>
      <c r="N106" s="399" t="e">
        <f t="shared" si="7"/>
        <v>#REF!</v>
      </c>
      <c r="O106" s="400"/>
    </row>
    <row r="107" spans="1:17" ht="13.5" hidden="1" customHeight="1" x14ac:dyDescent="0.2">
      <c r="A107" s="362"/>
      <c r="B107" s="390"/>
      <c r="C107" s="395" t="e">
        <f>IF('Per9'!C107&lt;&gt;"",'Per9'!C107,"")</f>
        <v>#REF!</v>
      </c>
      <c r="D107" s="396"/>
      <c r="E107" s="397"/>
      <c r="F107" s="402"/>
      <c r="G107" s="403"/>
      <c r="H107" s="402"/>
      <c r="I107" s="403"/>
      <c r="J107" s="136">
        <f t="shared" si="5"/>
        <v>0</v>
      </c>
      <c r="K107" s="132" t="e">
        <f>IF((J107+'Period 1'!#REF!+#REF!+#REF!+#REF!+#REF!+'Per6'!J107+'Per7'!J107+'Per8'!J107+'Per9'!J107)&lt;=24999,J107, 25000-'Period 1'!#REF!-#REF!-#REF!-#REF!-#REF!-'Per6'!K107-'Per7'!K107-'Per8'!K107-'Per9'!K107)</f>
        <v>#REF!</v>
      </c>
      <c r="L107" s="83" t="e">
        <f t="shared" si="8"/>
        <v>#REF!</v>
      </c>
      <c r="M107" s="32" t="e">
        <f t="shared" si="6"/>
        <v>#REF!</v>
      </c>
      <c r="N107" s="399" t="e">
        <f t="shared" si="7"/>
        <v>#REF!</v>
      </c>
      <c r="O107" s="400"/>
    </row>
    <row r="108" spans="1:17" ht="13.5" hidden="1" customHeight="1" x14ac:dyDescent="0.2">
      <c r="A108" s="362"/>
      <c r="B108" s="390"/>
      <c r="C108" s="395" t="e">
        <f>IF('Per9'!C108&lt;&gt;"",'Per9'!C108,"")</f>
        <v>#REF!</v>
      </c>
      <c r="D108" s="396"/>
      <c r="E108" s="397"/>
      <c r="F108" s="402"/>
      <c r="G108" s="403"/>
      <c r="H108" s="402"/>
      <c r="I108" s="403"/>
      <c r="J108" s="136">
        <f t="shared" si="5"/>
        <v>0</v>
      </c>
      <c r="K108" s="132" t="e">
        <f>IF((J108+'Period 1'!#REF!+#REF!+#REF!+#REF!+#REF!+'Per6'!J108+'Per7'!J108+'Per8'!J108+'Per9'!J108)&lt;=24999,J108, 25000-'Period 1'!#REF!-#REF!-#REF!-#REF!-#REF!-'Per6'!K108-'Per7'!K108-'Per8'!K108-'Per9'!K108)</f>
        <v>#REF!</v>
      </c>
      <c r="L108" s="83" t="e">
        <f t="shared" si="8"/>
        <v>#REF!</v>
      </c>
      <c r="M108" s="32" t="e">
        <f t="shared" si="6"/>
        <v>#REF!</v>
      </c>
      <c r="N108" s="399" t="e">
        <f t="shared" si="7"/>
        <v>#REF!</v>
      </c>
      <c r="O108" s="400"/>
    </row>
    <row r="109" spans="1:17" ht="13.5" hidden="1" customHeight="1" x14ac:dyDescent="0.2">
      <c r="A109" s="362"/>
      <c r="B109" s="390"/>
      <c r="C109" s="395" t="e">
        <f>IF('Per9'!C109&lt;&gt;"",'Per9'!C109,"")</f>
        <v>#REF!</v>
      </c>
      <c r="D109" s="396"/>
      <c r="E109" s="397"/>
      <c r="F109" s="402"/>
      <c r="G109" s="403"/>
      <c r="H109" s="402"/>
      <c r="I109" s="403"/>
      <c r="J109" s="136">
        <f t="shared" si="5"/>
        <v>0</v>
      </c>
      <c r="K109" s="132" t="e">
        <f>IF((J109+'Period 1'!#REF!+#REF!+#REF!+#REF!+#REF!+'Per6'!J109+'Per7'!J109+'Per8'!J109+'Per9'!J109)&lt;=24999,J109, 25000-'Period 1'!#REF!-#REF!-#REF!-#REF!-#REF!-'Per6'!K109-'Per7'!K109-'Per8'!K109-'Per9'!K109)</f>
        <v>#REF!</v>
      </c>
      <c r="L109" s="83" t="e">
        <f t="shared" si="8"/>
        <v>#REF!</v>
      </c>
      <c r="M109" s="32" t="e">
        <f t="shared" si="6"/>
        <v>#REF!</v>
      </c>
      <c r="N109" s="399" t="e">
        <f t="shared" si="7"/>
        <v>#REF!</v>
      </c>
      <c r="O109" s="400"/>
    </row>
    <row r="110" spans="1:17" ht="13.5" hidden="1" customHeight="1" x14ac:dyDescent="0.2">
      <c r="A110" s="362"/>
      <c r="B110" s="390"/>
      <c r="C110" s="395" t="e">
        <f>IF('Per9'!C110&lt;&gt;"",'Per9'!C110,"")</f>
        <v>#REF!</v>
      </c>
      <c r="D110" s="396"/>
      <c r="E110" s="397"/>
      <c r="F110" s="402"/>
      <c r="G110" s="403"/>
      <c r="H110" s="402"/>
      <c r="I110" s="403"/>
      <c r="J110" s="136">
        <f t="shared" si="5"/>
        <v>0</v>
      </c>
      <c r="K110" s="132" t="e">
        <f>IF((J110+'Period 1'!#REF!+#REF!+#REF!+#REF!+#REF!+'Per6'!J110+'Per7'!J110+'Per8'!J110+'Per9'!J110)&lt;=24999,J110, 25000-'Period 1'!#REF!-#REF!-#REF!-#REF!-#REF!-'Per6'!K110-'Per7'!K110-'Per8'!K110-'Per9'!K110)</f>
        <v>#REF!</v>
      </c>
      <c r="L110" s="83" t="e">
        <f t="shared" si="8"/>
        <v>#REF!</v>
      </c>
      <c r="M110" s="32" t="e">
        <f t="shared" si="6"/>
        <v>#REF!</v>
      </c>
      <c r="N110" s="399" t="e">
        <f t="shared" si="7"/>
        <v>#REF!</v>
      </c>
      <c r="O110" s="400"/>
    </row>
    <row r="111" spans="1:17" ht="13.5" hidden="1" customHeight="1" x14ac:dyDescent="0.2">
      <c r="A111" s="362"/>
      <c r="B111" s="390"/>
      <c r="C111" s="395" t="e">
        <f>IF('Per9'!C111&lt;&gt;"",'Per9'!C111,"")</f>
        <v>#REF!</v>
      </c>
      <c r="D111" s="396"/>
      <c r="E111" s="397"/>
      <c r="F111" s="402"/>
      <c r="G111" s="403"/>
      <c r="H111" s="402"/>
      <c r="I111" s="403"/>
      <c r="J111" s="136">
        <f t="shared" si="5"/>
        <v>0</v>
      </c>
      <c r="K111" s="132" t="e">
        <f>IF((J111+'Period 1'!#REF!+#REF!+#REF!+#REF!+#REF!+'Per6'!J111+'Per7'!J111+'Per8'!J111+'Per9'!J111)&lt;=24999,J111, 25000-'Period 1'!#REF!-#REF!-#REF!-#REF!-#REF!-'Per6'!K111-'Per7'!K111-'Per8'!K111-'Per9'!K111)</f>
        <v>#REF!</v>
      </c>
      <c r="L111" s="83" t="e">
        <f t="shared" si="8"/>
        <v>#REF!</v>
      </c>
      <c r="M111" s="32" t="e">
        <f t="shared" si="6"/>
        <v>#REF!</v>
      </c>
      <c r="N111" s="399" t="e">
        <f t="shared" si="7"/>
        <v>#REF!</v>
      </c>
      <c r="O111" s="400"/>
    </row>
    <row r="112" spans="1:17" ht="13.5" hidden="1" customHeight="1" x14ac:dyDescent="0.2">
      <c r="A112" s="362"/>
      <c r="B112" s="390"/>
      <c r="C112" s="395" t="e">
        <f>IF('Per9'!C112&lt;&gt;"",'Per9'!C112,"")</f>
        <v>#REF!</v>
      </c>
      <c r="D112" s="396"/>
      <c r="E112" s="397"/>
      <c r="F112" s="402"/>
      <c r="G112" s="403"/>
      <c r="H112" s="402"/>
      <c r="I112" s="403"/>
      <c r="J112" s="136">
        <f t="shared" si="5"/>
        <v>0</v>
      </c>
      <c r="K112" s="132" t="e">
        <f>IF((J112+'Period 1'!#REF!+#REF!+#REF!+#REF!+#REF!+'Per6'!J112+'Per7'!J112+'Per8'!J112+'Per9'!J112)&lt;=24999,J112, 25000-'Period 1'!#REF!-#REF!-#REF!-#REF!-#REF!-'Per6'!K112-'Per7'!K112-'Per8'!K112-'Per9'!K112)</f>
        <v>#REF!</v>
      </c>
      <c r="L112" s="83" t="e">
        <f t="shared" si="8"/>
        <v>#REF!</v>
      </c>
      <c r="M112" s="32" t="e">
        <f t="shared" si="6"/>
        <v>#REF!</v>
      </c>
      <c r="N112" s="399" t="e">
        <f t="shared" si="7"/>
        <v>#REF!</v>
      </c>
      <c r="O112" s="400"/>
    </row>
    <row r="113" spans="1:16" ht="13.5" hidden="1" customHeight="1" x14ac:dyDescent="0.2">
      <c r="A113" s="362"/>
      <c r="B113" s="390"/>
      <c r="C113" s="395" t="e">
        <f>IF('Per9'!C113&lt;&gt;"",'Per9'!C113,"")</f>
        <v>#REF!</v>
      </c>
      <c r="D113" s="396"/>
      <c r="E113" s="397"/>
      <c r="F113" s="402"/>
      <c r="G113" s="403"/>
      <c r="H113" s="402"/>
      <c r="I113" s="403"/>
      <c r="J113" s="136">
        <f t="shared" si="5"/>
        <v>0</v>
      </c>
      <c r="K113" s="132" t="e">
        <f>IF((J113+'Period 1'!#REF!+#REF!+#REF!+#REF!+#REF!+'Per6'!J113+'Per7'!J113+'Per8'!J113+'Per9'!J113)&lt;=24999,J113, 25000-'Period 1'!#REF!-#REF!-#REF!-#REF!-#REF!-'Per6'!K113-'Per7'!K113-'Per8'!K113-'Per9'!K113)</f>
        <v>#REF!</v>
      </c>
      <c r="L113" s="83" t="e">
        <f t="shared" si="8"/>
        <v>#REF!</v>
      </c>
      <c r="M113" s="32" t="e">
        <f t="shared" si="6"/>
        <v>#REF!</v>
      </c>
      <c r="N113" s="399" t="e">
        <f t="shared" si="7"/>
        <v>#REF!</v>
      </c>
      <c r="O113" s="400"/>
    </row>
    <row r="114" spans="1:16" ht="13.5" hidden="1" customHeight="1" x14ac:dyDescent="0.2">
      <c r="A114" s="362"/>
      <c r="B114" s="390"/>
      <c r="C114" s="395" t="e">
        <f>IF('Per9'!C114&lt;&gt;"",'Per9'!C114,"")</f>
        <v>#REF!</v>
      </c>
      <c r="D114" s="396"/>
      <c r="E114" s="397"/>
      <c r="F114" s="402"/>
      <c r="G114" s="403"/>
      <c r="H114" s="402"/>
      <c r="I114" s="403"/>
      <c r="J114" s="136">
        <f t="shared" si="5"/>
        <v>0</v>
      </c>
      <c r="K114" s="132" t="e">
        <f>IF((J114+'Period 1'!#REF!+#REF!+#REF!+#REF!+#REF!+'Per6'!J114+'Per7'!J114+'Per8'!J114+'Per9'!J114)&lt;=24999,J114, 25000-'Period 1'!#REF!-#REF!-#REF!-#REF!-#REF!-'Per6'!K114-'Per7'!K114-'Per8'!K114-'Per9'!K114)</f>
        <v>#REF!</v>
      </c>
      <c r="L114" s="83" t="e">
        <f t="shared" si="8"/>
        <v>#REF!</v>
      </c>
      <c r="M114" s="32" t="e">
        <f t="shared" si="6"/>
        <v>#REF!</v>
      </c>
      <c r="N114" s="399" t="e">
        <f t="shared" si="7"/>
        <v>#REF!</v>
      </c>
      <c r="O114" s="400"/>
    </row>
    <row r="115" spans="1:16" ht="13.5" hidden="1" customHeight="1" x14ac:dyDescent="0.2">
      <c r="A115" s="362"/>
      <c r="B115" s="390"/>
      <c r="C115" s="395" t="e">
        <f>IF('Per9'!C115&lt;&gt;"",'Per9'!C115,"")</f>
        <v>#REF!</v>
      </c>
      <c r="D115" s="396"/>
      <c r="E115" s="397"/>
      <c r="F115" s="402"/>
      <c r="G115" s="403"/>
      <c r="H115" s="402"/>
      <c r="I115" s="403"/>
      <c r="J115" s="136">
        <f t="shared" si="5"/>
        <v>0</v>
      </c>
      <c r="K115" s="132" t="e">
        <f>IF((J115+'Period 1'!#REF!+#REF!+#REF!+#REF!+#REF!+'Per6'!J115+'Per7'!J115+'Per8'!J115+'Per9'!J115)&lt;=24999,J115, 25000-'Period 1'!#REF!-#REF!-#REF!-#REF!-#REF!-'Per6'!K115-'Per7'!K115-'Per8'!K115-'Per9'!K115)</f>
        <v>#REF!</v>
      </c>
      <c r="L115" s="83" t="e">
        <f t="shared" si="8"/>
        <v>#REF!</v>
      </c>
      <c r="M115" s="32" t="e">
        <f t="shared" si="6"/>
        <v>#REF!</v>
      </c>
      <c r="N115" s="399" t="e">
        <f t="shared" si="7"/>
        <v>#REF!</v>
      </c>
      <c r="O115" s="400"/>
    </row>
    <row r="116" spans="1:16" ht="13.5" hidden="1" customHeight="1" x14ac:dyDescent="0.2">
      <c r="A116" s="362"/>
      <c r="B116" s="390"/>
      <c r="C116" s="395" t="e">
        <f>IF('Per9'!C116&lt;&gt;"",'Per9'!C116,"")</f>
        <v>#REF!</v>
      </c>
      <c r="D116" s="396"/>
      <c r="E116" s="397"/>
      <c r="F116" s="402"/>
      <c r="G116" s="403"/>
      <c r="H116" s="402"/>
      <c r="I116" s="403"/>
      <c r="J116" s="136">
        <f t="shared" si="5"/>
        <v>0</v>
      </c>
      <c r="K116" s="132" t="e">
        <f>IF((J116+'Period 1'!#REF!+#REF!+#REF!+#REF!+#REF!+'Per6'!J116+'Per7'!J116+'Per8'!J116+'Per9'!J116)&lt;=24999,J116, 25000-'Period 1'!#REF!-#REF!-#REF!-#REF!-#REF!-'Per6'!K116-'Per7'!K116-'Per8'!K116-'Per9'!K116)</f>
        <v>#REF!</v>
      </c>
      <c r="L116" s="83" t="e">
        <f t="shared" si="8"/>
        <v>#REF!</v>
      </c>
      <c r="M116" s="32" t="e">
        <f t="shared" si="6"/>
        <v>#REF!</v>
      </c>
      <c r="N116" s="399" t="e">
        <f t="shared" si="7"/>
        <v>#REF!</v>
      </c>
      <c r="O116" s="400"/>
    </row>
    <row r="117" spans="1:16" ht="13.5" hidden="1" customHeight="1" thickBot="1" x14ac:dyDescent="0.25">
      <c r="A117" s="362"/>
      <c r="B117" s="390"/>
      <c r="C117" s="395" t="e">
        <f>IF('Per9'!C117&lt;&gt;"",'Per9'!C117,"")</f>
        <v>#REF!</v>
      </c>
      <c r="D117" s="396"/>
      <c r="E117" s="397"/>
      <c r="F117" s="402"/>
      <c r="G117" s="403"/>
      <c r="H117" s="402"/>
      <c r="I117" s="403"/>
      <c r="J117" s="136">
        <f t="shared" si="5"/>
        <v>0</v>
      </c>
      <c r="K117" s="132" t="e">
        <f>IF((J117+'Period 1'!#REF!+#REF!+#REF!+#REF!+#REF!+'Per6'!J117+'Per7'!J117+'Per8'!J117+'Per9'!J117)&lt;=24999,J117, 25000-'Period 1'!#REF!-#REF!-#REF!-#REF!-#REF!-'Per6'!K117-'Per7'!K117-'Per8'!K117-'Per9'!K117)</f>
        <v>#REF!</v>
      </c>
      <c r="L117" s="83" t="e">
        <f t="shared" si="8"/>
        <v>#REF!</v>
      </c>
      <c r="M117" s="32" t="e">
        <f t="shared" si="6"/>
        <v>#REF!</v>
      </c>
      <c r="N117" s="407" t="e">
        <f t="shared" si="7"/>
        <v>#REF!</v>
      </c>
      <c r="O117" s="408"/>
    </row>
    <row r="118" spans="1:16" ht="13.5" customHeight="1" thickBot="1" x14ac:dyDescent="0.25">
      <c r="A118" s="363"/>
      <c r="B118" s="391"/>
      <c r="C118" s="421" t="s">
        <v>21</v>
      </c>
      <c r="D118" s="421"/>
      <c r="E118" s="422"/>
      <c r="F118" s="423">
        <f>SUM(F98:G117)</f>
        <v>0</v>
      </c>
      <c r="G118" s="423"/>
      <c r="H118" s="423">
        <f>SUM(H98:I117)</f>
        <v>0</v>
      </c>
      <c r="I118" s="423"/>
      <c r="J118" s="137">
        <f>SUM(J98:J117)</f>
        <v>0</v>
      </c>
      <c r="K118" s="133" t="e">
        <f>SUM(K98:K117)</f>
        <v>#REF!</v>
      </c>
      <c r="L118" s="33" t="e">
        <f>SUM(L98:L117)</f>
        <v>#REF!</v>
      </c>
      <c r="M118" s="84" t="e">
        <f>SUM(M98:M117)</f>
        <v>#REF!</v>
      </c>
      <c r="N118" s="158"/>
      <c r="O118" s="159"/>
    </row>
    <row r="119" spans="1:16" ht="18" hidden="1" customHeight="1" thickBot="1" x14ac:dyDescent="0.25">
      <c r="A119" s="424"/>
      <c r="B119" s="424"/>
      <c r="C119" s="424"/>
      <c r="D119" s="424"/>
      <c r="E119" s="424"/>
      <c r="F119" s="424"/>
      <c r="G119" s="424"/>
      <c r="H119" s="424"/>
      <c r="I119" s="424"/>
      <c r="J119" s="424"/>
      <c r="K119" s="424"/>
      <c r="L119" s="424"/>
      <c r="M119" s="424"/>
      <c r="N119" s="382"/>
      <c r="O119" s="382"/>
      <c r="P119" s="77"/>
    </row>
    <row r="120" spans="1:16" ht="18" hidden="1" customHeight="1" x14ac:dyDescent="0.2">
      <c r="A120" s="211"/>
      <c r="B120" s="211"/>
      <c r="C120" s="211"/>
      <c r="D120" s="211"/>
      <c r="E120" s="211"/>
      <c r="F120" s="212" t="s">
        <v>229</v>
      </c>
      <c r="G120" s="211" t="e">
        <f>IF(MONTH(L5)&lt;9,YEAR(L5),YEAR(L5)+1)</f>
        <v>#REF!</v>
      </c>
      <c r="H120" s="211"/>
      <c r="I120" s="212" t="s">
        <v>230</v>
      </c>
      <c r="J120" s="212" t="s">
        <v>227</v>
      </c>
      <c r="K120" s="212" t="s">
        <v>228</v>
      </c>
      <c r="L120" s="211"/>
      <c r="M120" s="211"/>
      <c r="N120" s="211"/>
      <c r="O120" s="211"/>
      <c r="P120" s="77"/>
    </row>
    <row r="121" spans="1:16" ht="18" hidden="1" customHeight="1" x14ac:dyDescent="0.2">
      <c r="A121" s="211"/>
      <c r="B121" s="211"/>
      <c r="C121" s="211"/>
      <c r="D121" s="211"/>
      <c r="E121" s="211"/>
      <c r="F121" s="211"/>
      <c r="G121" s="211"/>
      <c r="H121" s="211"/>
      <c r="I121" s="211">
        <v>2018</v>
      </c>
      <c r="J121" s="211">
        <v>0.47</v>
      </c>
      <c r="K121" s="209">
        <f>DATE(I121,8,31)</f>
        <v>43343</v>
      </c>
      <c r="L121" s="211"/>
      <c r="M121" s="211"/>
      <c r="N121" s="211"/>
      <c r="O121" s="211"/>
      <c r="P121" s="77"/>
    </row>
    <row r="122" spans="1:16" ht="18" hidden="1" customHeight="1" x14ac:dyDescent="0.2">
      <c r="A122" s="211"/>
      <c r="B122" s="211"/>
      <c r="C122" s="211"/>
      <c r="D122" s="211"/>
      <c r="E122" s="211"/>
      <c r="F122" s="211"/>
      <c r="G122" s="211"/>
      <c r="H122" s="211"/>
      <c r="I122" s="211">
        <v>2019</v>
      </c>
      <c r="J122" s="211">
        <v>0.49</v>
      </c>
      <c r="K122" s="209">
        <f t="shared" ref="K122:K135" si="9">DATE(I122,8,31)</f>
        <v>43708</v>
      </c>
      <c r="L122" s="211"/>
      <c r="M122" s="211"/>
      <c r="N122" s="211"/>
      <c r="O122" s="211"/>
      <c r="P122" s="77"/>
    </row>
    <row r="123" spans="1:16" ht="18" hidden="1" customHeight="1" x14ac:dyDescent="0.2">
      <c r="A123" s="211"/>
      <c r="B123" s="211"/>
      <c r="C123" s="211"/>
      <c r="D123" s="211"/>
      <c r="E123" s="211"/>
      <c r="F123" s="211"/>
      <c r="G123" s="211"/>
      <c r="H123" s="211"/>
      <c r="I123" s="211">
        <v>2020</v>
      </c>
      <c r="J123" s="211">
        <v>0.495</v>
      </c>
      <c r="K123" s="209">
        <f t="shared" si="9"/>
        <v>44074</v>
      </c>
      <c r="L123" s="211"/>
      <c r="M123" s="211"/>
      <c r="N123" s="211"/>
      <c r="O123" s="211"/>
      <c r="P123" s="77"/>
    </row>
    <row r="124" spans="1:16" ht="18" hidden="1" customHeight="1" x14ac:dyDescent="0.2">
      <c r="A124" s="211"/>
      <c r="B124" s="211"/>
      <c r="C124" s="211"/>
      <c r="D124" s="211"/>
      <c r="E124" s="211"/>
      <c r="F124" s="211"/>
      <c r="G124" s="211"/>
      <c r="H124" s="211"/>
      <c r="I124" s="211">
        <v>2021</v>
      </c>
      <c r="J124" s="211">
        <v>0.5</v>
      </c>
      <c r="K124" s="209">
        <f t="shared" si="9"/>
        <v>44439</v>
      </c>
      <c r="L124" s="211"/>
      <c r="M124" s="211"/>
      <c r="N124" s="211"/>
      <c r="O124" s="211"/>
      <c r="P124" s="77"/>
    </row>
    <row r="125" spans="1:16" ht="18" hidden="1" customHeight="1" x14ac:dyDescent="0.2">
      <c r="A125" s="211"/>
      <c r="B125" s="211"/>
      <c r="C125" s="211"/>
      <c r="D125" s="211"/>
      <c r="E125" s="211"/>
      <c r="F125" s="211"/>
      <c r="G125" s="211"/>
      <c r="H125" s="211"/>
      <c r="I125" s="211">
        <v>2022</v>
      </c>
      <c r="J125" s="211">
        <v>0.5</v>
      </c>
      <c r="K125" s="209">
        <f t="shared" si="9"/>
        <v>44804</v>
      </c>
      <c r="L125" s="211"/>
      <c r="M125" s="211"/>
      <c r="N125" s="211"/>
      <c r="O125" s="211"/>
      <c r="P125" s="77"/>
    </row>
    <row r="126" spans="1:16" ht="18" hidden="1" customHeight="1" x14ac:dyDescent="0.2">
      <c r="A126" s="211"/>
      <c r="B126" s="211"/>
      <c r="C126" s="211"/>
      <c r="D126" s="211"/>
      <c r="E126" s="211"/>
      <c r="F126" s="211"/>
      <c r="G126" s="211"/>
      <c r="H126" s="211"/>
      <c r="I126" s="211">
        <v>2023</v>
      </c>
      <c r="J126" s="211">
        <v>0.5</v>
      </c>
      <c r="K126" s="209">
        <f t="shared" si="9"/>
        <v>45169</v>
      </c>
      <c r="L126" s="211"/>
      <c r="M126" s="211"/>
      <c r="N126" s="211"/>
      <c r="O126" s="211"/>
      <c r="P126" s="77"/>
    </row>
    <row r="127" spans="1:16" ht="18" hidden="1" customHeight="1" x14ac:dyDescent="0.2">
      <c r="A127" s="211"/>
      <c r="B127" s="211"/>
      <c r="C127" s="211"/>
      <c r="D127" s="211"/>
      <c r="E127" s="211"/>
      <c r="F127" s="211"/>
      <c r="G127" s="211"/>
      <c r="H127" s="211"/>
      <c r="I127" s="211">
        <v>2024</v>
      </c>
      <c r="J127" s="211">
        <v>0.5</v>
      </c>
      <c r="K127" s="209">
        <f t="shared" si="9"/>
        <v>45535</v>
      </c>
      <c r="L127" s="211"/>
      <c r="M127" s="211"/>
      <c r="N127" s="211"/>
      <c r="O127" s="211"/>
      <c r="P127" s="77"/>
    </row>
    <row r="128" spans="1:16" ht="18" hidden="1" customHeight="1" x14ac:dyDescent="0.2">
      <c r="A128" s="211"/>
      <c r="B128" s="211"/>
      <c r="C128" s="211"/>
      <c r="D128" s="211"/>
      <c r="E128" s="211"/>
      <c r="F128" s="211"/>
      <c r="G128" s="211"/>
      <c r="H128" s="211"/>
      <c r="I128" s="211">
        <v>2025</v>
      </c>
      <c r="J128" s="211">
        <v>0.5</v>
      </c>
      <c r="K128" s="209">
        <f t="shared" si="9"/>
        <v>45900</v>
      </c>
      <c r="L128" s="211"/>
      <c r="M128" s="211"/>
      <c r="N128" s="211"/>
      <c r="O128" s="211"/>
      <c r="P128" s="77"/>
    </row>
    <row r="129" spans="1:16" ht="18" hidden="1" customHeight="1" x14ac:dyDescent="0.2">
      <c r="A129" s="211"/>
      <c r="B129" s="211"/>
      <c r="C129" s="211"/>
      <c r="D129" s="211"/>
      <c r="E129" s="211"/>
      <c r="F129" s="211"/>
      <c r="G129" s="211"/>
      <c r="H129" s="211"/>
      <c r="I129" s="211">
        <v>2026</v>
      </c>
      <c r="J129" s="211">
        <v>0.5</v>
      </c>
      <c r="K129" s="209">
        <f t="shared" si="9"/>
        <v>46265</v>
      </c>
      <c r="L129" s="211"/>
      <c r="M129" s="211"/>
      <c r="N129" s="211"/>
      <c r="O129" s="211"/>
      <c r="P129" s="77"/>
    </row>
    <row r="130" spans="1:16" ht="18" hidden="1" customHeight="1" x14ac:dyDescent="0.2">
      <c r="A130" s="211"/>
      <c r="B130" s="211"/>
      <c r="C130" s="211"/>
      <c r="D130" s="211"/>
      <c r="E130" s="211"/>
      <c r="F130" s="211"/>
      <c r="G130" s="211"/>
      <c r="H130" s="211"/>
      <c r="I130" s="211">
        <v>2027</v>
      </c>
      <c r="J130" s="211">
        <v>0.5</v>
      </c>
      <c r="K130" s="209">
        <f t="shared" si="9"/>
        <v>46630</v>
      </c>
      <c r="L130" s="211"/>
      <c r="M130" s="211"/>
      <c r="N130" s="211"/>
      <c r="O130" s="211"/>
      <c r="P130" s="77"/>
    </row>
    <row r="131" spans="1:16" ht="18" hidden="1" customHeight="1" x14ac:dyDescent="0.2">
      <c r="A131" s="211"/>
      <c r="B131" s="211"/>
      <c r="C131" s="211"/>
      <c r="D131" s="211"/>
      <c r="E131" s="211"/>
      <c r="F131" s="211"/>
      <c r="G131" s="211"/>
      <c r="H131" s="211"/>
      <c r="I131" s="211">
        <v>2028</v>
      </c>
      <c r="J131" s="211">
        <v>0.5</v>
      </c>
      <c r="K131" s="209">
        <f t="shared" si="9"/>
        <v>46996</v>
      </c>
      <c r="L131" s="211"/>
      <c r="M131" s="211"/>
      <c r="N131" s="211"/>
      <c r="O131" s="211"/>
      <c r="P131" s="77"/>
    </row>
    <row r="132" spans="1:16" ht="18" hidden="1" customHeight="1" x14ac:dyDescent="0.2">
      <c r="A132" s="211"/>
      <c r="B132" s="211"/>
      <c r="C132" s="211"/>
      <c r="D132" s="211"/>
      <c r="E132" s="211"/>
      <c r="F132" s="211"/>
      <c r="G132" s="211"/>
      <c r="H132" s="211"/>
      <c r="I132" s="211">
        <v>2029</v>
      </c>
      <c r="J132" s="211">
        <v>0.5</v>
      </c>
      <c r="K132" s="209">
        <f t="shared" si="9"/>
        <v>47361</v>
      </c>
      <c r="L132" s="211"/>
      <c r="M132" s="211"/>
      <c r="N132" s="211"/>
      <c r="O132" s="211"/>
      <c r="P132" s="77"/>
    </row>
    <row r="133" spans="1:16" ht="18" hidden="1" customHeight="1" x14ac:dyDescent="0.2">
      <c r="A133" s="211"/>
      <c r="B133" s="211"/>
      <c r="C133" s="211"/>
      <c r="D133" s="211"/>
      <c r="E133" s="211"/>
      <c r="F133" s="211"/>
      <c r="G133" s="211"/>
      <c r="H133" s="211"/>
      <c r="I133" s="211">
        <v>2030</v>
      </c>
      <c r="J133" s="211">
        <v>0.5</v>
      </c>
      <c r="K133" s="209">
        <f t="shared" si="9"/>
        <v>47726</v>
      </c>
      <c r="L133" s="211"/>
      <c r="M133" s="211"/>
      <c r="N133" s="211"/>
      <c r="O133" s="211"/>
      <c r="P133" s="77"/>
    </row>
    <row r="134" spans="1:16" ht="18" hidden="1" customHeight="1" x14ac:dyDescent="0.2">
      <c r="A134" s="211"/>
      <c r="B134" s="211"/>
      <c r="C134" s="211"/>
      <c r="D134" s="211"/>
      <c r="E134" s="211"/>
      <c r="F134" s="211"/>
      <c r="G134" s="211"/>
      <c r="H134" s="211"/>
      <c r="I134" s="211">
        <v>2031</v>
      </c>
      <c r="J134" s="211">
        <v>0.5</v>
      </c>
      <c r="K134" s="209">
        <f t="shared" si="9"/>
        <v>48091</v>
      </c>
      <c r="L134" s="211"/>
      <c r="M134" s="211"/>
      <c r="N134" s="211"/>
      <c r="O134" s="211"/>
      <c r="P134" s="77"/>
    </row>
    <row r="135" spans="1:16" ht="18" hidden="1" customHeight="1" x14ac:dyDescent="0.2">
      <c r="A135" s="211"/>
      <c r="B135" s="211"/>
      <c r="C135" s="211"/>
      <c r="D135" s="211"/>
      <c r="E135" s="211"/>
      <c r="F135" s="211"/>
      <c r="G135" s="211"/>
      <c r="H135" s="211"/>
      <c r="I135" s="211">
        <v>2032</v>
      </c>
      <c r="J135" s="211">
        <v>0.5</v>
      </c>
      <c r="K135" s="209">
        <f t="shared" si="9"/>
        <v>48457</v>
      </c>
      <c r="L135" s="211"/>
      <c r="M135" s="211"/>
      <c r="N135" s="211"/>
      <c r="O135" s="211"/>
      <c r="P135" s="77"/>
    </row>
    <row r="136" spans="1:16" ht="18" customHeight="1" thickBot="1" x14ac:dyDescent="0.25">
      <c r="A136" s="211"/>
      <c r="B136" s="211"/>
      <c r="C136" s="211"/>
      <c r="D136" s="211"/>
      <c r="E136" s="211"/>
      <c r="F136" s="211"/>
      <c r="G136" s="211"/>
      <c r="H136" s="211"/>
      <c r="I136" s="211"/>
      <c r="J136" s="211"/>
      <c r="K136" s="211"/>
      <c r="L136" s="211"/>
      <c r="M136" s="211"/>
      <c r="N136" s="211"/>
      <c r="O136" s="211"/>
      <c r="P136" s="77"/>
    </row>
    <row r="137" spans="1:16" ht="13.5" customHeight="1" x14ac:dyDescent="0.2">
      <c r="A137" s="361" t="s">
        <v>63</v>
      </c>
      <c r="B137" s="425" t="s">
        <v>78</v>
      </c>
      <c r="C137" s="426"/>
      <c r="D137" s="426"/>
      <c r="E137" s="426"/>
      <c r="F137" s="427"/>
      <c r="G137" s="437" t="s">
        <v>43</v>
      </c>
      <c r="H137" s="438"/>
      <c r="I137" s="438"/>
      <c r="J137" s="438"/>
      <c r="K137" s="439"/>
      <c r="L137" s="428" t="s">
        <v>79</v>
      </c>
      <c r="M137" s="429"/>
      <c r="N137" s="430"/>
      <c r="O137" s="23" t="e">
        <f>O148-H118</f>
        <v>#REF!</v>
      </c>
      <c r="P137" s="79"/>
    </row>
    <row r="138" spans="1:16" ht="13.5" customHeight="1" x14ac:dyDescent="0.2">
      <c r="A138" s="362"/>
      <c r="B138" s="431" t="s">
        <v>37</v>
      </c>
      <c r="C138" s="432"/>
      <c r="D138" s="432"/>
      <c r="E138" s="432"/>
      <c r="F138" s="433"/>
      <c r="G138" s="440"/>
      <c r="H138" s="441"/>
      <c r="I138" s="441"/>
      <c r="J138" s="441"/>
      <c r="K138" s="442"/>
      <c r="L138" s="434" t="s">
        <v>19</v>
      </c>
      <c r="M138" s="435"/>
      <c r="N138" s="436"/>
      <c r="O138" s="24">
        <f>H118</f>
        <v>0</v>
      </c>
      <c r="P138" s="79"/>
    </row>
    <row r="139" spans="1:16" ht="13.5" customHeight="1" x14ac:dyDescent="0.2">
      <c r="A139" s="362"/>
      <c r="B139" s="210"/>
      <c r="C139" s="208" t="s">
        <v>226</v>
      </c>
      <c r="D139" s="208"/>
      <c r="E139" s="208"/>
      <c r="F139" s="205">
        <v>0.47</v>
      </c>
      <c r="G139" s="440"/>
      <c r="H139" s="441"/>
      <c r="I139" s="441"/>
      <c r="J139" s="441"/>
      <c r="K139" s="442"/>
      <c r="L139" s="418" t="s">
        <v>40</v>
      </c>
      <c r="M139" s="419"/>
      <c r="N139" s="420"/>
      <c r="O139" s="25" t="e">
        <f>O148-O83-O79-O88-O96+K118</f>
        <v>#REF!</v>
      </c>
      <c r="P139" s="79"/>
    </row>
    <row r="140" spans="1:16" ht="13.5" customHeight="1" x14ac:dyDescent="0.3">
      <c r="A140" s="362"/>
      <c r="B140" s="210"/>
      <c r="C140" s="208" t="s">
        <v>221</v>
      </c>
      <c r="D140" s="208"/>
      <c r="E140" s="208"/>
      <c r="F140" s="205">
        <v>0.49</v>
      </c>
      <c r="G140" s="440"/>
      <c r="H140" s="441"/>
      <c r="I140" s="441"/>
      <c r="J140" s="441"/>
      <c r="K140" s="442"/>
      <c r="L140" s="199" t="s">
        <v>217</v>
      </c>
      <c r="M140" s="202" t="e">
        <f>VLOOKUP($G$120,$I$121:$J$135,2,FALSE)</f>
        <v>#REF!</v>
      </c>
      <c r="N140" s="203" t="s">
        <v>224</v>
      </c>
      <c r="O140" s="25" t="e">
        <f>IF($L$7-VLOOKUP($G$120,$I$121:$K$135,3,FALSE)&lt;0,$O$139,ROUND((1-($L$7-VLOOKUP($G$120,$I$121:$K$135,3,FALSE))/($L$7+1-$L$5))*$O$139,0))</f>
        <v>#REF!</v>
      </c>
      <c r="P140" s="80"/>
    </row>
    <row r="141" spans="1:16" ht="13.5" customHeight="1" x14ac:dyDescent="0.3">
      <c r="A141" s="362"/>
      <c r="B141" s="210"/>
      <c r="C141" s="208" t="s">
        <v>222</v>
      </c>
      <c r="D141" s="208"/>
      <c r="E141" s="208"/>
      <c r="F141" s="206">
        <v>0.495</v>
      </c>
      <c r="G141" s="440"/>
      <c r="H141" s="441"/>
      <c r="I141" s="441"/>
      <c r="J141" s="441"/>
      <c r="K141" s="442"/>
      <c r="L141" s="200" t="s">
        <v>218</v>
      </c>
      <c r="M141" s="202" t="e">
        <f>VLOOKUP($G$120+1,$I$121:$J$135,2,FALSE)</f>
        <v>#REF!</v>
      </c>
      <c r="N141" s="203" t="s">
        <v>225</v>
      </c>
      <c r="O141" s="25" t="e">
        <f>O139-O140</f>
        <v>#REF!</v>
      </c>
      <c r="P141" s="80"/>
    </row>
    <row r="142" spans="1:16" ht="13.5" customHeight="1" x14ac:dyDescent="0.3">
      <c r="A142" s="362"/>
      <c r="B142" s="207"/>
      <c r="C142" s="208" t="s">
        <v>223</v>
      </c>
      <c r="D142" s="208"/>
      <c r="E142" s="208"/>
      <c r="F142" s="205">
        <v>0.5</v>
      </c>
      <c r="G142" s="440"/>
      <c r="H142" s="441"/>
      <c r="I142" s="441"/>
      <c r="J142" s="441"/>
      <c r="K142" s="442"/>
      <c r="L142" s="446" t="s">
        <v>219</v>
      </c>
      <c r="M142" s="447"/>
      <c r="N142" s="448"/>
      <c r="O142" s="201" t="e">
        <f>ROUND(M140*O140,0)</f>
        <v>#REF!</v>
      </c>
      <c r="P142" s="80"/>
    </row>
    <row r="143" spans="1:16" ht="13.5" customHeight="1" x14ac:dyDescent="0.3">
      <c r="A143" s="362"/>
      <c r="B143" s="207"/>
      <c r="C143" s="208" t="s">
        <v>231</v>
      </c>
      <c r="D143" s="208"/>
      <c r="E143" s="208"/>
      <c r="F143" s="205">
        <v>0.5</v>
      </c>
      <c r="G143" s="443"/>
      <c r="H143" s="444"/>
      <c r="I143" s="444"/>
      <c r="J143" s="444"/>
      <c r="K143" s="445"/>
      <c r="L143" s="449" t="s">
        <v>220</v>
      </c>
      <c r="M143" s="450"/>
      <c r="N143" s="451"/>
      <c r="O143" s="204" t="e">
        <f>ROUND(M141*O141,0)</f>
        <v>#REF!</v>
      </c>
      <c r="P143" s="80"/>
    </row>
    <row r="144" spans="1:16" ht="13.5" customHeight="1" x14ac:dyDescent="0.2">
      <c r="A144" s="362"/>
      <c r="B144" s="207"/>
      <c r="C144" s="213" t="s">
        <v>232</v>
      </c>
      <c r="D144" s="208"/>
      <c r="E144" s="208"/>
      <c r="F144" s="205">
        <v>0.36</v>
      </c>
      <c r="G144" s="452" t="s">
        <v>175</v>
      </c>
      <c r="H144" s="453"/>
      <c r="I144" s="453"/>
      <c r="J144" s="453"/>
      <c r="K144" s="453"/>
      <c r="L144" s="453"/>
      <c r="M144" s="453"/>
      <c r="N144" s="453"/>
      <c r="O144" s="454"/>
      <c r="P144" s="65"/>
    </row>
    <row r="145" spans="1:17" ht="13.5" customHeight="1" x14ac:dyDescent="0.2">
      <c r="A145" s="362"/>
      <c r="B145" s="431" t="s">
        <v>36</v>
      </c>
      <c r="C145" s="432"/>
      <c r="D145" s="432"/>
      <c r="E145" s="432"/>
      <c r="F145" s="433"/>
      <c r="G145" s="455"/>
      <c r="H145" s="456"/>
      <c r="I145" s="456"/>
      <c r="J145" s="456"/>
      <c r="K145" s="456"/>
      <c r="L145" s="456"/>
      <c r="M145" s="456"/>
      <c r="N145" s="456"/>
      <c r="O145" s="457"/>
      <c r="P145" s="65"/>
    </row>
    <row r="146" spans="1:17" ht="14.25" customHeight="1" thickBot="1" x14ac:dyDescent="0.25">
      <c r="A146" s="363"/>
      <c r="B146" s="207"/>
      <c r="C146" s="208" t="s">
        <v>233</v>
      </c>
      <c r="D146" s="208"/>
      <c r="E146" s="208"/>
      <c r="F146" s="205">
        <v>0.26</v>
      </c>
      <c r="G146" s="458"/>
      <c r="H146" s="459"/>
      <c r="I146" s="459"/>
      <c r="J146" s="459"/>
      <c r="K146" s="459"/>
      <c r="L146" s="459"/>
      <c r="M146" s="459"/>
      <c r="N146" s="459"/>
      <c r="O146" s="460"/>
      <c r="P146" s="65"/>
    </row>
    <row r="147" spans="1:17" ht="18" customHeight="1" thickBot="1" x14ac:dyDescent="0.25">
      <c r="A147" s="295"/>
      <c r="B147" s="295"/>
      <c r="C147" s="295"/>
      <c r="D147" s="295"/>
      <c r="E147" s="295"/>
      <c r="F147" s="295"/>
      <c r="G147" s="295"/>
      <c r="H147" s="295"/>
      <c r="I147" s="295"/>
      <c r="J147" s="295"/>
      <c r="K147" s="295"/>
      <c r="L147" s="295"/>
      <c r="M147" s="295"/>
      <c r="N147" s="295"/>
      <c r="O147" s="295"/>
      <c r="P147" s="77"/>
    </row>
    <row r="148" spans="1:17" ht="17.100000000000001" customHeight="1" x14ac:dyDescent="0.25">
      <c r="A148" s="296" t="s">
        <v>45</v>
      </c>
      <c r="B148" s="297"/>
      <c r="C148" s="302" t="s">
        <v>23</v>
      </c>
      <c r="D148" s="303"/>
      <c r="E148" s="303"/>
      <c r="F148" s="306"/>
      <c r="G148" s="307"/>
      <c r="H148" s="29"/>
      <c r="I148" s="310" t="s">
        <v>62</v>
      </c>
      <c r="J148" s="313" t="str">
        <f>K3</f>
        <v>Period 10</v>
      </c>
      <c r="K148" s="412" t="s">
        <v>61</v>
      </c>
      <c r="L148" s="413"/>
      <c r="M148" s="413"/>
      <c r="N148" s="414"/>
      <c r="O148" s="26" t="e">
        <f>O35+O79+O64+O83+O67+O96+O88</f>
        <v>#REF!</v>
      </c>
      <c r="P148" s="81"/>
    </row>
    <row r="149" spans="1:17" ht="17.100000000000001" customHeight="1" x14ac:dyDescent="0.25">
      <c r="A149" s="298"/>
      <c r="B149" s="299"/>
      <c r="C149" s="304"/>
      <c r="D149" s="305"/>
      <c r="E149" s="305"/>
      <c r="F149" s="308"/>
      <c r="G149" s="309"/>
      <c r="H149" s="30"/>
      <c r="I149" s="311"/>
      <c r="J149" s="314"/>
      <c r="K149" s="415" t="s">
        <v>186</v>
      </c>
      <c r="L149" s="416"/>
      <c r="M149" s="416"/>
      <c r="N149" s="417"/>
      <c r="O149" s="27" t="e">
        <f>O142+O143</f>
        <v>#REF!</v>
      </c>
      <c r="P149" s="81"/>
      <c r="Q149" s="55"/>
    </row>
    <row r="150" spans="1:17" ht="17.100000000000001" customHeight="1" thickBot="1" x14ac:dyDescent="0.3">
      <c r="A150" s="300"/>
      <c r="B150" s="301"/>
      <c r="C150" s="316" t="s">
        <v>22</v>
      </c>
      <c r="D150" s="317"/>
      <c r="E150" s="318"/>
      <c r="F150" s="319" t="e">
        <f>IF(O151&lt;&gt;0,F148/O151,"-")</f>
        <v>#REF!</v>
      </c>
      <c r="G150" s="320"/>
      <c r="H150" s="29"/>
      <c r="I150" s="311"/>
      <c r="J150" s="314"/>
      <c r="K150" s="321" t="s">
        <v>46</v>
      </c>
      <c r="L150" s="322"/>
      <c r="M150" s="322"/>
      <c r="N150" s="323"/>
      <c r="O150" s="27" t="e">
        <f>O148+O149</f>
        <v>#REF!</v>
      </c>
      <c r="P150" s="81"/>
    </row>
    <row r="151" spans="1:17" ht="17.100000000000001" customHeight="1" thickBot="1" x14ac:dyDescent="0.3">
      <c r="A151" s="324"/>
      <c r="B151" s="324"/>
      <c r="C151" s="324"/>
      <c r="D151" s="324"/>
      <c r="E151" s="324"/>
      <c r="F151" s="324"/>
      <c r="G151" s="324"/>
      <c r="H151" s="325"/>
      <c r="I151" s="312"/>
      <c r="J151" s="315"/>
      <c r="K151" s="326" t="s">
        <v>58</v>
      </c>
      <c r="L151" s="327"/>
      <c r="M151" s="327"/>
      <c r="N151" s="328"/>
      <c r="O151" s="28" t="e">
        <f>O150+F148</f>
        <v>#REF!</v>
      </c>
      <c r="P151" s="81"/>
    </row>
    <row r="159" spans="1:17" x14ac:dyDescent="0.2">
      <c r="Q159" s="55"/>
    </row>
  </sheetData>
  <sheetProtection insertRows="0"/>
  <mergeCells count="220">
    <mergeCell ref="B35:J35"/>
    <mergeCell ref="K35:L35"/>
    <mergeCell ref="K148:N148"/>
    <mergeCell ref="K149:N149"/>
    <mergeCell ref="L139:N139"/>
    <mergeCell ref="C118:E118"/>
    <mergeCell ref="F118:G118"/>
    <mergeCell ref="H118:I118"/>
    <mergeCell ref="A119:O119"/>
    <mergeCell ref="B137:F137"/>
    <mergeCell ref="L137:N137"/>
    <mergeCell ref="B138:F138"/>
    <mergeCell ref="L138:N138"/>
    <mergeCell ref="A137:A146"/>
    <mergeCell ref="G137:K143"/>
    <mergeCell ref="L142:N142"/>
    <mergeCell ref="L143:N143"/>
    <mergeCell ref="G144:O146"/>
    <mergeCell ref="B145:F145"/>
    <mergeCell ref="C116:E116"/>
    <mergeCell ref="F116:G116"/>
    <mergeCell ref="H116:I116"/>
    <mergeCell ref="N116:O116"/>
    <mergeCell ref="C117:E117"/>
    <mergeCell ref="F117:G117"/>
    <mergeCell ref="H117:I117"/>
    <mergeCell ref="N117:O117"/>
    <mergeCell ref="C114:E114"/>
    <mergeCell ref="F114:G114"/>
    <mergeCell ref="H114:I114"/>
    <mergeCell ref="N114:O114"/>
    <mergeCell ref="C115:E115"/>
    <mergeCell ref="F115:G115"/>
    <mergeCell ref="H115:I115"/>
    <mergeCell ref="N115:O115"/>
    <mergeCell ref="C112:E112"/>
    <mergeCell ref="F112:G112"/>
    <mergeCell ref="H112:I112"/>
    <mergeCell ref="N112:O112"/>
    <mergeCell ref="C113:E113"/>
    <mergeCell ref="F113:G113"/>
    <mergeCell ref="H113:I113"/>
    <mergeCell ref="N113:O113"/>
    <mergeCell ref="C110:E110"/>
    <mergeCell ref="F110:G110"/>
    <mergeCell ref="H110:I110"/>
    <mergeCell ref="N110:O110"/>
    <mergeCell ref="C111:E111"/>
    <mergeCell ref="F111:G111"/>
    <mergeCell ref="H111:I111"/>
    <mergeCell ref="N111:O111"/>
    <mergeCell ref="C108:E108"/>
    <mergeCell ref="F108:G108"/>
    <mergeCell ref="H108:I108"/>
    <mergeCell ref="N108:O108"/>
    <mergeCell ref="C109:E109"/>
    <mergeCell ref="F109:G109"/>
    <mergeCell ref="H109:I109"/>
    <mergeCell ref="N109:O109"/>
    <mergeCell ref="C106:E106"/>
    <mergeCell ref="F106:G106"/>
    <mergeCell ref="H106:I106"/>
    <mergeCell ref="N106:O106"/>
    <mergeCell ref="C107:E107"/>
    <mergeCell ref="F107:G107"/>
    <mergeCell ref="H107:I107"/>
    <mergeCell ref="N107:O107"/>
    <mergeCell ref="F104:G104"/>
    <mergeCell ref="H104:I104"/>
    <mergeCell ref="N104:O104"/>
    <mergeCell ref="C105:E105"/>
    <mergeCell ref="F105:G105"/>
    <mergeCell ref="H105:I105"/>
    <mergeCell ref="N105:O105"/>
    <mergeCell ref="C102:E102"/>
    <mergeCell ref="F102:G102"/>
    <mergeCell ref="H102:I102"/>
    <mergeCell ref="N102:O102"/>
    <mergeCell ref="C103:E103"/>
    <mergeCell ref="F103:G103"/>
    <mergeCell ref="H103:I103"/>
    <mergeCell ref="N103:O103"/>
    <mergeCell ref="B95:O95"/>
    <mergeCell ref="A96:A118"/>
    <mergeCell ref="B96:M96"/>
    <mergeCell ref="B97:B118"/>
    <mergeCell ref="F97:G97"/>
    <mergeCell ref="H97:I97"/>
    <mergeCell ref="C100:E100"/>
    <mergeCell ref="F100:G100"/>
    <mergeCell ref="H100:I100"/>
    <mergeCell ref="N100:O100"/>
    <mergeCell ref="C101:E101"/>
    <mergeCell ref="F101:G101"/>
    <mergeCell ref="H101:I101"/>
    <mergeCell ref="N101:O101"/>
    <mergeCell ref="N97:O97"/>
    <mergeCell ref="C98:E98"/>
    <mergeCell ref="F98:G98"/>
    <mergeCell ref="H98:I98"/>
    <mergeCell ref="N98:O98"/>
    <mergeCell ref="C99:E99"/>
    <mergeCell ref="F99:G99"/>
    <mergeCell ref="H99:I99"/>
    <mergeCell ref="N99:O99"/>
    <mergeCell ref="C104:E104"/>
    <mergeCell ref="B85:N85"/>
    <mergeCell ref="B86:N86"/>
    <mergeCell ref="B87:N87"/>
    <mergeCell ref="B88:M88"/>
    <mergeCell ref="B89:N89"/>
    <mergeCell ref="B90:N90"/>
    <mergeCell ref="B76:N76"/>
    <mergeCell ref="B77:N77"/>
    <mergeCell ref="A78:O78"/>
    <mergeCell ref="A79:A94"/>
    <mergeCell ref="B79:M79"/>
    <mergeCell ref="B80:N80"/>
    <mergeCell ref="B81:N81"/>
    <mergeCell ref="B82:N82"/>
    <mergeCell ref="B83:M83"/>
    <mergeCell ref="B84:N84"/>
    <mergeCell ref="B91:N91"/>
    <mergeCell ref="B92:N92"/>
    <mergeCell ref="B93:N93"/>
    <mergeCell ref="B94:N94"/>
    <mergeCell ref="B68:N68"/>
    <mergeCell ref="B69:N69"/>
    <mergeCell ref="B70:N70"/>
    <mergeCell ref="B71:N71"/>
    <mergeCell ref="B74:N74"/>
    <mergeCell ref="B75:N75"/>
    <mergeCell ref="B64:M64"/>
    <mergeCell ref="B65:N65"/>
    <mergeCell ref="B66:N66"/>
    <mergeCell ref="B67:M67"/>
    <mergeCell ref="B61:C61"/>
    <mergeCell ref="G61:H61"/>
    <mergeCell ref="B62:C62"/>
    <mergeCell ref="G62:H62"/>
    <mergeCell ref="B63:C63"/>
    <mergeCell ref="G63:H63"/>
    <mergeCell ref="B58:C58"/>
    <mergeCell ref="G58:H58"/>
    <mergeCell ref="B59:C59"/>
    <mergeCell ref="G59:H59"/>
    <mergeCell ref="B60:C60"/>
    <mergeCell ref="G60:H60"/>
    <mergeCell ref="B55:C55"/>
    <mergeCell ref="G55:H55"/>
    <mergeCell ref="B56:C56"/>
    <mergeCell ref="G56:H56"/>
    <mergeCell ref="B57:C57"/>
    <mergeCell ref="G57:H57"/>
    <mergeCell ref="B52:C52"/>
    <mergeCell ref="G52:H52"/>
    <mergeCell ref="B53:C53"/>
    <mergeCell ref="G53:H53"/>
    <mergeCell ref="B54:C54"/>
    <mergeCell ref="G54:H54"/>
    <mergeCell ref="B50:C50"/>
    <mergeCell ref="G50:H50"/>
    <mergeCell ref="B51:C51"/>
    <mergeCell ref="G51:H51"/>
    <mergeCell ref="B46:C46"/>
    <mergeCell ref="G46:H46"/>
    <mergeCell ref="B47:C47"/>
    <mergeCell ref="G47:H47"/>
    <mergeCell ref="B48:C48"/>
    <mergeCell ref="G48:H48"/>
    <mergeCell ref="A34:O34"/>
    <mergeCell ref="A35:A77"/>
    <mergeCell ref="B36:C36"/>
    <mergeCell ref="G36:H36"/>
    <mergeCell ref="B37:C37"/>
    <mergeCell ref="G37:H37"/>
    <mergeCell ref="B38:C38"/>
    <mergeCell ref="G38:H38"/>
    <mergeCell ref="B39:C39"/>
    <mergeCell ref="B43:C43"/>
    <mergeCell ref="G43:H43"/>
    <mergeCell ref="B44:C44"/>
    <mergeCell ref="G44:H44"/>
    <mergeCell ref="B45:C45"/>
    <mergeCell ref="G45:H45"/>
    <mergeCell ref="G39:H39"/>
    <mergeCell ref="B40:C40"/>
    <mergeCell ref="G40:H40"/>
    <mergeCell ref="B41:C41"/>
    <mergeCell ref="G41:H41"/>
    <mergeCell ref="B42:C42"/>
    <mergeCell ref="G42:H42"/>
    <mergeCell ref="B49:C49"/>
    <mergeCell ref="G49:H49"/>
    <mergeCell ref="A5:C6"/>
    <mergeCell ref="D5:F6"/>
    <mergeCell ref="K5:K6"/>
    <mergeCell ref="L5:L6"/>
    <mergeCell ref="A7:C9"/>
    <mergeCell ref="D7:F9"/>
    <mergeCell ref="K7:K8"/>
    <mergeCell ref="L7:L8"/>
    <mergeCell ref="A1:O1"/>
    <mergeCell ref="A2:O2"/>
    <mergeCell ref="A3:C4"/>
    <mergeCell ref="D3:F4"/>
    <mergeCell ref="K3:L4"/>
    <mergeCell ref="M3:O3"/>
    <mergeCell ref="M4:O4"/>
    <mergeCell ref="A147:O147"/>
    <mergeCell ref="A148:B150"/>
    <mergeCell ref="C148:E149"/>
    <mergeCell ref="F148:G149"/>
    <mergeCell ref="I148:I151"/>
    <mergeCell ref="J148:J151"/>
    <mergeCell ref="C150:E150"/>
    <mergeCell ref="F150:G150"/>
    <mergeCell ref="K150:N150"/>
    <mergeCell ref="A151:H151"/>
    <mergeCell ref="K151:N151"/>
  </mergeCells>
  <conditionalFormatting sqref="J37:J63">
    <cfRule type="expression" dxfId="0" priority="1">
      <formula>E37&lt;&gt;"Hourly"</formula>
    </cfRule>
  </conditionalFormatting>
  <dataValidations count="2">
    <dataValidation type="list" allowBlank="1" showInputMessage="1" showErrorMessage="1" sqref="F37:F63" xr:uid="{00000000-0002-0000-0500-000000000000}">
      <formula1>INDIRECT(E37)</formula1>
    </dataValidation>
    <dataValidation type="list" allowBlank="1" showInputMessage="1" showErrorMessage="1" sqref="E37:E63" xr:uid="{00000000-0002-0000-0500-000001000000}">
      <formula1>$B$11:$B$16</formula1>
    </dataValidation>
  </dataValidations>
  <printOptions horizontalCentered="1" verticalCentered="1"/>
  <pageMargins left="0.25" right="0.25" top="0.5" bottom="0.5" header="0" footer="0"/>
  <pageSetup scale="65" orientation="portrait" r:id="rId1"/>
  <headerFooter alignWithMargins="0">
    <oddFooter xml:space="preserve">&amp;R&amp;K000000
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105"/>
  <sheetViews>
    <sheetView zoomScale="85" zoomScaleNormal="85" zoomScalePageLayoutView="85" workbookViewId="0">
      <selection activeCell="M28" sqref="M28"/>
    </sheetView>
  </sheetViews>
  <sheetFormatPr defaultColWidth="9.140625" defaultRowHeight="15" x14ac:dyDescent="0.25"/>
  <cols>
    <col min="1" max="1" width="6.7109375" style="105" customWidth="1"/>
    <col min="2" max="2" width="27" style="105" customWidth="1"/>
    <col min="3" max="3" width="2.7109375" style="105" customWidth="1"/>
    <col min="4" max="4" width="16.42578125" style="105" customWidth="1"/>
    <col min="5" max="5" width="2.7109375" style="105" customWidth="1"/>
    <col min="6" max="6" width="7.85546875" style="105" customWidth="1"/>
    <col min="7" max="7" width="7" style="105" customWidth="1"/>
    <col min="8" max="8" width="2.7109375" style="105" customWidth="1"/>
    <col min="9" max="9" width="10.140625" style="105" customWidth="1"/>
    <col min="10" max="10" width="2.7109375" style="105" customWidth="1"/>
    <col min="11" max="11" width="14.85546875" style="105" customWidth="1"/>
    <col min="12" max="16" width="9.140625" style="105"/>
    <col min="17" max="18" width="9.140625" style="105" hidden="1" customWidth="1"/>
    <col min="19" max="16384" width="9.140625" style="105"/>
  </cols>
  <sheetData>
    <row r="1" spans="1:18" x14ac:dyDescent="0.25">
      <c r="A1" s="104"/>
      <c r="B1" s="104" t="s">
        <v>82</v>
      </c>
      <c r="C1" s="464"/>
      <c r="D1" s="464"/>
      <c r="E1" s="464"/>
      <c r="F1" s="104"/>
      <c r="G1" s="104"/>
      <c r="H1" s="104"/>
      <c r="I1" s="465"/>
      <c r="J1" s="465"/>
      <c r="K1" s="465"/>
      <c r="Q1" s="105">
        <v>1</v>
      </c>
      <c r="R1" s="105">
        <v>1</v>
      </c>
    </row>
    <row r="2" spans="1:18" x14ac:dyDescent="0.25">
      <c r="A2" s="104"/>
      <c r="B2" s="104" t="s">
        <v>83</v>
      </c>
      <c r="C2" s="464"/>
      <c r="D2" s="464"/>
      <c r="E2" s="464"/>
      <c r="Q2" s="105">
        <v>2</v>
      </c>
      <c r="R2" s="105">
        <v>2</v>
      </c>
    </row>
    <row r="3" spans="1:18" x14ac:dyDescent="0.25">
      <c r="Q3" s="105">
        <v>3</v>
      </c>
      <c r="R3" s="105">
        <v>3</v>
      </c>
    </row>
    <row r="4" spans="1:18" ht="21" x14ac:dyDescent="0.35">
      <c r="A4" s="106" t="s">
        <v>84</v>
      </c>
      <c r="Q4" s="105">
        <v>4</v>
      </c>
      <c r="R4" s="105">
        <v>4</v>
      </c>
    </row>
    <row r="5" spans="1:18" x14ac:dyDescent="0.25">
      <c r="Q5" s="105">
        <v>5</v>
      </c>
      <c r="R5" s="105">
        <v>5</v>
      </c>
    </row>
    <row r="6" spans="1:18" x14ac:dyDescent="0.25">
      <c r="I6" s="107" t="s">
        <v>85</v>
      </c>
      <c r="K6" s="107" t="s">
        <v>86</v>
      </c>
      <c r="Q6" s="145">
        <v>6</v>
      </c>
      <c r="R6" s="105">
        <v>6</v>
      </c>
    </row>
    <row r="7" spans="1:18" x14ac:dyDescent="0.25">
      <c r="B7" s="104" t="s">
        <v>87</v>
      </c>
      <c r="D7" s="139" t="s">
        <v>183</v>
      </c>
      <c r="F7" s="466" t="s">
        <v>88</v>
      </c>
      <c r="G7" s="466"/>
      <c r="I7" s="146" t="e">
        <f>INDEX(#REF!,12,VLOOKUP($D$7,$Q$1:$R$11,2)+4)</f>
        <v>#REF!</v>
      </c>
      <c r="J7" s="147"/>
      <c r="K7" s="146" t="e">
        <f>INDEX(#REF!,13,VLOOKUP($D$7,$Q$1:$R$11,2)+4)</f>
        <v>#REF!</v>
      </c>
      <c r="Q7" s="105">
        <v>7</v>
      </c>
      <c r="R7" s="105">
        <v>7</v>
      </c>
    </row>
    <row r="8" spans="1:18" x14ac:dyDescent="0.25">
      <c r="B8" s="104"/>
      <c r="D8" s="108"/>
      <c r="F8" s="109"/>
      <c r="G8" s="109"/>
      <c r="I8" s="110"/>
      <c r="K8" s="110"/>
      <c r="Q8" s="105">
        <v>8</v>
      </c>
      <c r="R8" s="105">
        <v>8</v>
      </c>
    </row>
    <row r="9" spans="1:18" x14ac:dyDescent="0.25">
      <c r="Q9" s="105">
        <v>9</v>
      </c>
      <c r="R9" s="105">
        <v>9</v>
      </c>
    </row>
    <row r="10" spans="1:18" ht="46.5" customHeight="1" x14ac:dyDescent="0.25">
      <c r="A10" s="467" t="s">
        <v>89</v>
      </c>
      <c r="B10" s="467"/>
      <c r="C10" s="467"/>
      <c r="D10" s="467"/>
      <c r="Q10" s="105">
        <v>10</v>
      </c>
      <c r="R10" s="105">
        <v>10</v>
      </c>
    </row>
    <row r="11" spans="1:18" x14ac:dyDescent="0.25">
      <c r="A11" s="111"/>
      <c r="Q11" s="157" t="s">
        <v>183</v>
      </c>
      <c r="R11" s="105">
        <v>11</v>
      </c>
    </row>
    <row r="12" spans="1:18" x14ac:dyDescent="0.25">
      <c r="B12" s="155" t="s">
        <v>190</v>
      </c>
      <c r="D12" s="156" t="e">
        <f>SUM(D18:D34,D38:D39,D42,K18:K20,K24:K26,K30:K32,K36:K38,K42:K44,D49:D51,K49:K51,D55:D57,K55:K57,D61:D63,K61:K63,K67:K69,D67:D69,D73:D75,K73:K75,D79:D81,K79:K81,D85:D87,K85:K87,D91:D93)</f>
        <v>#REF!</v>
      </c>
      <c r="Q12" s="145"/>
    </row>
    <row r="13" spans="1:18" x14ac:dyDescent="0.25">
      <c r="B13" s="155"/>
      <c r="D13" s="156"/>
      <c r="Q13" s="145"/>
    </row>
    <row r="14" spans="1:18" x14ac:dyDescent="0.25">
      <c r="A14" s="109"/>
      <c r="D14" s="107" t="s">
        <v>90</v>
      </c>
      <c r="K14" s="107" t="s">
        <v>90</v>
      </c>
    </row>
    <row r="15" spans="1:18" x14ac:dyDescent="0.25">
      <c r="A15" s="111"/>
      <c r="O15" s="113"/>
    </row>
    <row r="16" spans="1:18" x14ac:dyDescent="0.25">
      <c r="A16" s="186"/>
      <c r="B16" s="187" t="s">
        <v>170</v>
      </c>
      <c r="C16" s="140"/>
      <c r="D16" s="183"/>
      <c r="G16" s="160"/>
      <c r="H16" s="140"/>
      <c r="I16" s="165" t="s">
        <v>170</v>
      </c>
      <c r="J16" s="140"/>
      <c r="K16" s="168"/>
    </row>
    <row r="17" spans="1:11" x14ac:dyDescent="0.25">
      <c r="A17" s="188"/>
      <c r="B17" s="189"/>
      <c r="D17" s="168"/>
      <c r="G17" s="461" t="e">
        <f>'Period 1'!#REF!</f>
        <v>#REF!</v>
      </c>
      <c r="H17" s="462"/>
      <c r="I17" s="462"/>
      <c r="J17" s="462"/>
      <c r="K17" s="463"/>
    </row>
    <row r="18" spans="1:11" x14ac:dyDescent="0.25">
      <c r="A18" s="161" t="s">
        <v>91</v>
      </c>
      <c r="B18" s="105" t="s">
        <v>92</v>
      </c>
      <c r="D18" s="162" t="e">
        <f>INDEX(#REF!,15,VLOOKUP($D$7,$Q$1:$R$11,2)+4)</f>
        <v>#REF!</v>
      </c>
      <c r="G18" s="161" t="s">
        <v>121</v>
      </c>
      <c r="H18" s="468" t="s">
        <v>122</v>
      </c>
      <c r="I18" s="468"/>
      <c r="K18" s="162" t="e">
        <f>INDEX(#REF!,82,VLOOKUP($D$7,$Q$1:$R$11,2)+4)</f>
        <v>#REF!</v>
      </c>
    </row>
    <row r="19" spans="1:11" x14ac:dyDescent="0.25">
      <c r="A19" s="161" t="s">
        <v>93</v>
      </c>
      <c r="B19" s="105" t="s">
        <v>94</v>
      </c>
      <c r="D19" s="162" t="e">
        <f>INDEX(#REF!,16,VLOOKUP($D$7,$Q$1:$R$11,2)+4)</f>
        <v>#REF!</v>
      </c>
      <c r="G19" s="161" t="s">
        <v>123</v>
      </c>
      <c r="H19" s="469" t="s">
        <v>124</v>
      </c>
      <c r="I19" s="469"/>
      <c r="K19" s="162" t="e">
        <f>INDEX(#REF!,83,VLOOKUP($D$7,$Q$1:$R$11,2)+4)</f>
        <v>#REF!</v>
      </c>
    </row>
    <row r="20" spans="1:11" x14ac:dyDescent="0.25">
      <c r="A20" s="161" t="s">
        <v>95</v>
      </c>
      <c r="B20" s="105" t="s">
        <v>96</v>
      </c>
      <c r="D20" s="162" t="e">
        <f>INDEX(#REF!,18,VLOOKUP($D$7,$Q$1:$R$11,2)+4)</f>
        <v>#REF!</v>
      </c>
      <c r="G20" s="163" t="s">
        <v>125</v>
      </c>
      <c r="H20" s="470" t="s">
        <v>126</v>
      </c>
      <c r="I20" s="470"/>
      <c r="J20" s="115"/>
      <c r="K20" s="162" t="e">
        <f>INDEX(#REF!,84,VLOOKUP($D$7,$Q$1:$R$11,2)+4)</f>
        <v>#REF!</v>
      </c>
    </row>
    <row r="21" spans="1:11" x14ac:dyDescent="0.25">
      <c r="A21" s="161" t="s">
        <v>97</v>
      </c>
      <c r="B21" s="105" t="s">
        <v>98</v>
      </c>
      <c r="D21" s="162" t="e">
        <f>INDEX(#REF!,19,VLOOKUP($D$7,$Q$1:$R$11,2)+4)</f>
        <v>#REF!</v>
      </c>
      <c r="K21" s="141"/>
    </row>
    <row r="22" spans="1:11" x14ac:dyDescent="0.25">
      <c r="A22" s="161" t="s">
        <v>99</v>
      </c>
      <c r="B22" s="105" t="s">
        <v>100</v>
      </c>
      <c r="D22" s="162" t="e">
        <f>INDEX(#REF!,21,VLOOKUP($D$7,$Q$1:$R$11,2)+4)</f>
        <v>#REF!</v>
      </c>
      <c r="G22" s="160"/>
      <c r="H22" s="140"/>
      <c r="I22" s="165" t="s">
        <v>170</v>
      </c>
      <c r="J22" s="144"/>
      <c r="K22" s="166"/>
    </row>
    <row r="23" spans="1:11" x14ac:dyDescent="0.25">
      <c r="A23" s="161" t="s">
        <v>101</v>
      </c>
      <c r="B23" s="105" t="s">
        <v>102</v>
      </c>
      <c r="D23" s="162" t="e">
        <f>INDEX(#REF!,22,VLOOKUP($D$7,$Q$1:$R$11,2)+4)</f>
        <v>#REF!</v>
      </c>
      <c r="G23" s="461" t="e">
        <f>'Period 1'!#REF!</f>
        <v>#REF!</v>
      </c>
      <c r="H23" s="462"/>
      <c r="I23" s="462"/>
      <c r="J23" s="462"/>
      <c r="K23" s="463"/>
    </row>
    <row r="24" spans="1:11" x14ac:dyDescent="0.25">
      <c r="A24" s="161" t="s">
        <v>103</v>
      </c>
      <c r="B24" s="105" t="s">
        <v>104</v>
      </c>
      <c r="D24" s="162" t="e">
        <f>INDEX(#REF!,23,VLOOKUP($D$7,$Q$1:$R$11,2)+4)</f>
        <v>#REF!</v>
      </c>
      <c r="G24" s="161" t="s">
        <v>121</v>
      </c>
      <c r="H24" s="469" t="s">
        <v>122</v>
      </c>
      <c r="I24" s="469"/>
      <c r="K24" s="162" t="e">
        <f>INDEX(#REF!,86,VLOOKUP($D$7,$Q$1:$R$11,2)+4)</f>
        <v>#REF!</v>
      </c>
    </row>
    <row r="25" spans="1:11" x14ac:dyDescent="0.25">
      <c r="A25" s="161" t="s">
        <v>105</v>
      </c>
      <c r="B25" s="157" t="s">
        <v>206</v>
      </c>
      <c r="D25" s="162" t="e">
        <f>INDEX(#REF!,25,VLOOKUP($D$7,$Q$1:$R$11,2)+4)</f>
        <v>#REF!</v>
      </c>
      <c r="G25" s="161" t="s">
        <v>123</v>
      </c>
      <c r="H25" s="469" t="s">
        <v>124</v>
      </c>
      <c r="I25" s="469"/>
      <c r="K25" s="162" t="e">
        <f>INDEX(#REF!,87,VLOOKUP($D$7,$Q$1:$R$11,2)+4)</f>
        <v>#REF!</v>
      </c>
    </row>
    <row r="26" spans="1:11" x14ac:dyDescent="0.25">
      <c r="A26" s="161" t="s">
        <v>106</v>
      </c>
      <c r="B26" s="105" t="s">
        <v>107</v>
      </c>
      <c r="D26" s="162" t="e">
        <f>INDEX(#REF!,26,VLOOKUP($D$7,$Q$1:$R$11,2)+4)</f>
        <v>#REF!</v>
      </c>
      <c r="G26" s="163" t="s">
        <v>125</v>
      </c>
      <c r="H26" s="470" t="s">
        <v>126</v>
      </c>
      <c r="I26" s="470"/>
      <c r="J26" s="115"/>
      <c r="K26" s="162" t="e">
        <f>INDEX(#REF!,88,VLOOKUP($D$7,$Q$1:$R$11,2)+4)</f>
        <v>#REF!</v>
      </c>
    </row>
    <row r="27" spans="1:11" x14ac:dyDescent="0.25">
      <c r="A27" s="161" t="s">
        <v>108</v>
      </c>
      <c r="B27" s="157" t="s">
        <v>207</v>
      </c>
      <c r="D27" s="162" t="e">
        <f>INDEX(#REF!,27,VLOOKUP($D$7,$Q$1:$R$11,2)+4)</f>
        <v>#REF!</v>
      </c>
      <c r="K27" s="141"/>
    </row>
    <row r="28" spans="1:11" x14ac:dyDescent="0.25">
      <c r="A28" s="161" t="s">
        <v>109</v>
      </c>
      <c r="B28" s="105" t="s">
        <v>110</v>
      </c>
      <c r="D28" s="162" t="e">
        <f>INDEX(#REF!,28,VLOOKUP($D$7,$Q$1:$R$11,2)+4)+INDEX(#REF!,29,VLOOKUP($D$7,$Q$1:$R$11,2)+4)+INDEX(#REF!,30,VLOOKUP($D$7,$Q$1:$R$11,2)+4)+INDEX(#REF!,31,VLOOKUP($D$7,$Q$1:$R$11,2)+4)+INDEX(#REF!,34,VLOOKUP($D$7,$Q$1:$R$11,2)+4)+INDEX(#REF!,35,VLOOKUP($D$7,$Q$1:$R$11,2)+4)</f>
        <v>#REF!</v>
      </c>
      <c r="G28" s="160"/>
      <c r="H28" s="140"/>
      <c r="I28" s="165" t="s">
        <v>170</v>
      </c>
      <c r="J28" s="144"/>
      <c r="K28" s="166"/>
    </row>
    <row r="29" spans="1:11" x14ac:dyDescent="0.25">
      <c r="A29" s="161" t="s">
        <v>111</v>
      </c>
      <c r="B29" s="105" t="s">
        <v>112</v>
      </c>
      <c r="D29" s="162" t="e">
        <f>INDEX(#REF!,36,VLOOKUP($D$7,$Q$1:$R$11,2)+4)</f>
        <v>#REF!</v>
      </c>
      <c r="G29" s="461" t="e">
        <f>'Period 1'!#REF!</f>
        <v>#REF!</v>
      </c>
      <c r="H29" s="462"/>
      <c r="I29" s="462"/>
      <c r="J29" s="462"/>
      <c r="K29" s="463"/>
    </row>
    <row r="30" spans="1:11" x14ac:dyDescent="0.25">
      <c r="A30" s="161" t="s">
        <v>113</v>
      </c>
      <c r="B30" s="105" t="s">
        <v>114</v>
      </c>
      <c r="D30" s="162" t="e">
        <f>INDEX(#REF!,37,VLOOKUP($D$7,$Q$1:$R$11,2)+4)</f>
        <v>#REF!</v>
      </c>
      <c r="G30" s="161" t="s">
        <v>121</v>
      </c>
      <c r="H30" s="469" t="s">
        <v>122</v>
      </c>
      <c r="I30" s="469"/>
      <c r="K30" s="162" t="e">
        <f>INDEX(#REF!,90,VLOOKUP($D$7,$Q$1:$R$11,2)+4)</f>
        <v>#REF!</v>
      </c>
    </row>
    <row r="31" spans="1:11" x14ac:dyDescent="0.25">
      <c r="A31" s="161" t="s">
        <v>115</v>
      </c>
      <c r="B31" s="105" t="s">
        <v>116</v>
      </c>
      <c r="D31" s="162" t="e">
        <f>INDEX(#REF!,40,VLOOKUP($D$7,$Q$1:$R$11,2)+4)+INDEX(#REF!,41,VLOOKUP($D$7,$Q$1:$R$11,2)+4)</f>
        <v>#REF!</v>
      </c>
      <c r="G31" s="161" t="s">
        <v>123</v>
      </c>
      <c r="H31" s="469" t="s">
        <v>124</v>
      </c>
      <c r="I31" s="469"/>
      <c r="K31" s="162" t="e">
        <f>INDEX(#REF!,91,VLOOKUP($D$7,$Q$1:$R$11,2)+4)</f>
        <v>#REF!</v>
      </c>
    </row>
    <row r="32" spans="1:11" x14ac:dyDescent="0.25">
      <c r="A32" s="161" t="s">
        <v>117</v>
      </c>
      <c r="B32" s="105" t="s">
        <v>118</v>
      </c>
      <c r="D32" s="162" t="e">
        <f>INDEX(#REF!,42,VLOOKUP($D$7,$Q$1:$R$11,2)+4)</f>
        <v>#REF!</v>
      </c>
      <c r="G32" s="163" t="s">
        <v>125</v>
      </c>
      <c r="H32" s="470" t="s">
        <v>126</v>
      </c>
      <c r="I32" s="470"/>
      <c r="J32" s="115"/>
      <c r="K32" s="162" t="e">
        <f>INDEX(#REF!,92,VLOOKUP($D$7,$Q$1:$R$11,2)+4)</f>
        <v>#REF!</v>
      </c>
    </row>
    <row r="33" spans="1:13" x14ac:dyDescent="0.25">
      <c r="A33" s="161" t="s">
        <v>119</v>
      </c>
      <c r="B33" s="105" t="s">
        <v>120</v>
      </c>
      <c r="D33" s="162" t="e">
        <f>INDEX(#REF!,43,VLOOKUP($D$7,$Q$1:$R$11,2)+4)+INDEX(#REF!,38,VLOOKUP($D$7,$Q$1:$R$11,2)+4)</f>
        <v>#REF!</v>
      </c>
      <c r="K33" s="141"/>
    </row>
    <row r="34" spans="1:13" x14ac:dyDescent="0.25">
      <c r="A34" s="163" t="s">
        <v>125</v>
      </c>
      <c r="B34" s="164" t="s">
        <v>126</v>
      </c>
      <c r="C34" s="115"/>
      <c r="D34" s="162" t="e">
        <f>INDEX(#REF!,67,VLOOKUP($D$7,$Q$1:$R$11,2)+4)-D39-K20-K26-K32-K38-K44-D51-K51-D57-K57-D63-K63-D69-K69-D75-K75-D81-K81-D87-K87-D93</f>
        <v>#REF!</v>
      </c>
      <c r="G34" s="160"/>
      <c r="H34" s="140"/>
      <c r="I34" s="165" t="s">
        <v>170</v>
      </c>
      <c r="J34" s="144"/>
      <c r="K34" s="166"/>
    </row>
    <row r="35" spans="1:13" x14ac:dyDescent="0.25">
      <c r="B35" s="112"/>
      <c r="C35" s="112"/>
      <c r="G35" s="461" t="e">
        <f>'Period 1'!#REF!</f>
        <v>#REF!</v>
      </c>
      <c r="H35" s="462"/>
      <c r="I35" s="462"/>
      <c r="J35" s="462"/>
      <c r="K35" s="463"/>
    </row>
    <row r="36" spans="1:13" x14ac:dyDescent="0.25">
      <c r="G36" s="161" t="s">
        <v>121</v>
      </c>
      <c r="H36" s="469" t="s">
        <v>122</v>
      </c>
      <c r="I36" s="469"/>
      <c r="K36" s="162" t="e">
        <f>INDEX(#REF!,94,VLOOKUP($D$7,$Q$1:$R$11,2)+4)</f>
        <v>#REF!</v>
      </c>
    </row>
    <row r="37" spans="1:13" x14ac:dyDescent="0.25">
      <c r="A37" s="169"/>
      <c r="B37" s="170" t="s">
        <v>170</v>
      </c>
      <c r="C37" s="171"/>
      <c r="D37" s="172"/>
      <c r="G37" s="161" t="s">
        <v>123</v>
      </c>
      <c r="H37" s="469" t="s">
        <v>124</v>
      </c>
      <c r="I37" s="469"/>
      <c r="K37" s="162" t="e">
        <f>INDEX(#REF!,95,VLOOKUP($D$7,$Q$1:$R$11,2)+4)</f>
        <v>#REF!</v>
      </c>
    </row>
    <row r="38" spans="1:13" x14ac:dyDescent="0.25">
      <c r="A38" s="173" t="s">
        <v>187</v>
      </c>
      <c r="B38" s="174" t="s">
        <v>171</v>
      </c>
      <c r="C38" s="175"/>
      <c r="D38" s="176" t="e">
        <f>INDEX(#REF!,32,VLOOKUP($D$7,$Q$1:$R$11,2)+4)</f>
        <v>#REF!</v>
      </c>
      <c r="G38" s="163" t="s">
        <v>125</v>
      </c>
      <c r="H38" s="470" t="s">
        <v>126</v>
      </c>
      <c r="I38" s="470"/>
      <c r="J38" s="115"/>
      <c r="K38" s="162" t="e">
        <f>INDEX(#REF!,96,VLOOKUP($D$7,$Q$1:$R$11,2)+4)</f>
        <v>#REF!</v>
      </c>
    </row>
    <row r="39" spans="1:13" x14ac:dyDescent="0.25">
      <c r="A39" s="177" t="s">
        <v>125</v>
      </c>
      <c r="B39" s="178" t="s">
        <v>126</v>
      </c>
      <c r="C39" s="179"/>
      <c r="D39" s="180" t="e">
        <f>ROUNDUP(D38*'Period 1'!#REF!,0)</f>
        <v>#REF!</v>
      </c>
      <c r="K39" s="141"/>
    </row>
    <row r="40" spans="1:13" x14ac:dyDescent="0.25">
      <c r="A40" s="131"/>
      <c r="B40" s="130"/>
      <c r="C40" s="112"/>
      <c r="D40" s="141"/>
      <c r="G40" s="160"/>
      <c r="H40" s="140"/>
      <c r="I40" s="165" t="s">
        <v>170</v>
      </c>
      <c r="J40" s="144"/>
      <c r="K40" s="167"/>
    </row>
    <row r="41" spans="1:13" x14ac:dyDescent="0.25">
      <c r="A41" s="169"/>
      <c r="B41" s="170" t="s">
        <v>170</v>
      </c>
      <c r="C41" s="171"/>
      <c r="D41" s="172"/>
      <c r="G41" s="461" t="e">
        <f>'Period 1'!#REF!</f>
        <v>#REF!</v>
      </c>
      <c r="H41" s="462"/>
      <c r="I41" s="462"/>
      <c r="J41" s="462"/>
      <c r="K41" s="471"/>
    </row>
    <row r="42" spans="1:13" x14ac:dyDescent="0.25">
      <c r="A42" s="181" t="s">
        <v>187</v>
      </c>
      <c r="B42" s="182" t="s">
        <v>172</v>
      </c>
      <c r="C42" s="179"/>
      <c r="D42" s="176" t="e">
        <f>INDEX(#REF!,33,VLOOKUP($D$7,$Q$1:$R$11,2)+4)</f>
        <v>#REF!</v>
      </c>
      <c r="G42" s="161" t="s">
        <v>121</v>
      </c>
      <c r="H42" s="469" t="s">
        <v>122</v>
      </c>
      <c r="I42" s="469"/>
      <c r="K42" s="162" t="e">
        <f>INDEX(#REF!,98,VLOOKUP($D$7,$Q$1:$R$11,2)+4)</f>
        <v>#REF!</v>
      </c>
    </row>
    <row r="43" spans="1:13" x14ac:dyDescent="0.25">
      <c r="G43" s="161" t="s">
        <v>123</v>
      </c>
      <c r="H43" s="469" t="s">
        <v>124</v>
      </c>
      <c r="I43" s="469"/>
      <c r="K43" s="162" t="e">
        <f>INDEX(#REF!,99,VLOOKUP($D$7,$Q$1:$R$11,2)+4)</f>
        <v>#REF!</v>
      </c>
    </row>
    <row r="44" spans="1:13" x14ac:dyDescent="0.25">
      <c r="G44" s="163" t="s">
        <v>125</v>
      </c>
      <c r="H44" s="470" t="s">
        <v>126</v>
      </c>
      <c r="I44" s="470"/>
      <c r="J44" s="115"/>
      <c r="K44" s="162" t="e">
        <f>INDEX(#REF!,100,VLOOKUP($D$7,$Q$1:$R$11,2)+4)</f>
        <v>#REF!</v>
      </c>
    </row>
    <row r="45" spans="1:13" x14ac:dyDescent="0.25">
      <c r="K45" s="141"/>
      <c r="M45" s="194" t="s">
        <v>210</v>
      </c>
    </row>
    <row r="46" spans="1:13" x14ac:dyDescent="0.25">
      <c r="K46" s="141"/>
    </row>
    <row r="47" spans="1:13" hidden="1" x14ac:dyDescent="0.25">
      <c r="A47" s="160"/>
      <c r="B47" s="140"/>
      <c r="C47" s="165" t="s">
        <v>170</v>
      </c>
      <c r="D47" s="183"/>
      <c r="G47" s="160"/>
      <c r="H47" s="140"/>
      <c r="I47" s="165" t="s">
        <v>170</v>
      </c>
      <c r="J47" s="140"/>
      <c r="K47" s="183"/>
    </row>
    <row r="48" spans="1:13" hidden="1" x14ac:dyDescent="0.25">
      <c r="A48" s="184" t="e">
        <f>'Period 1'!#REF!</f>
        <v>#REF!</v>
      </c>
      <c r="B48" s="112"/>
      <c r="C48" s="112"/>
      <c r="D48" s="185"/>
      <c r="G48" s="472" t="e">
        <f>'Period 1'!#REF!</f>
        <v>#REF!</v>
      </c>
      <c r="H48" s="462"/>
      <c r="I48" s="462"/>
      <c r="J48" s="462"/>
      <c r="K48" s="471"/>
    </row>
    <row r="49" spans="1:11" hidden="1" x14ac:dyDescent="0.25">
      <c r="A49" s="161" t="s">
        <v>121</v>
      </c>
      <c r="B49" s="468" t="s">
        <v>122</v>
      </c>
      <c r="C49" s="468"/>
      <c r="D49" s="162" t="e">
        <f>INDEX(#REF!,102,VLOOKUP($D$7,$Q$1:$R$11,2)+4)</f>
        <v>#REF!</v>
      </c>
      <c r="G49" s="161" t="s">
        <v>121</v>
      </c>
      <c r="H49" s="468" t="s">
        <v>122</v>
      </c>
      <c r="I49" s="468"/>
      <c r="K49" s="162" t="e">
        <f>INDEX(#REF!,134,VLOOKUP($D$7,$Q$1:$R$11,2)+4)</f>
        <v>#REF!</v>
      </c>
    </row>
    <row r="50" spans="1:11" hidden="1" x14ac:dyDescent="0.25">
      <c r="A50" s="161" t="s">
        <v>123</v>
      </c>
      <c r="B50" s="469" t="s">
        <v>124</v>
      </c>
      <c r="C50" s="469"/>
      <c r="D50" s="162" t="e">
        <f>INDEX(#REF!,103,VLOOKUP($D$7,$Q$1:$R$11,2)+4)</f>
        <v>#REF!</v>
      </c>
      <c r="G50" s="161" t="s">
        <v>123</v>
      </c>
      <c r="H50" s="469" t="s">
        <v>124</v>
      </c>
      <c r="I50" s="469"/>
      <c r="K50" s="162" t="e">
        <f>INDEX(#REF!,135,VLOOKUP($D$7,$Q$1:$R$11,2)+4)</f>
        <v>#REF!</v>
      </c>
    </row>
    <row r="51" spans="1:11" hidden="1" x14ac:dyDescent="0.25">
      <c r="A51" s="163" t="s">
        <v>125</v>
      </c>
      <c r="B51" s="470" t="s">
        <v>126</v>
      </c>
      <c r="C51" s="470"/>
      <c r="D51" s="162" t="e">
        <f>INDEX(#REF!,104,VLOOKUP($D$7,$Q$1:$R$11,2)+4)</f>
        <v>#REF!</v>
      </c>
      <c r="G51" s="163" t="s">
        <v>125</v>
      </c>
      <c r="H51" s="470" t="s">
        <v>126</v>
      </c>
      <c r="I51" s="470"/>
      <c r="J51" s="115"/>
      <c r="K51" s="162" t="e">
        <f>INDEX(#REF!,136,VLOOKUP($D$7,$Q$1:$R$11,2)+4)</f>
        <v>#REF!</v>
      </c>
    </row>
    <row r="52" spans="1:11" hidden="1" x14ac:dyDescent="0.25">
      <c r="K52" s="141"/>
    </row>
    <row r="53" spans="1:11" hidden="1" x14ac:dyDescent="0.25">
      <c r="A53" s="160"/>
      <c r="B53" s="140"/>
      <c r="C53" s="165" t="s">
        <v>170</v>
      </c>
      <c r="D53" s="167"/>
      <c r="E53" s="141"/>
      <c r="G53" s="160"/>
      <c r="H53" s="140"/>
      <c r="I53" s="165" t="s">
        <v>170</v>
      </c>
      <c r="J53" s="144"/>
      <c r="K53" s="167"/>
    </row>
    <row r="54" spans="1:11" hidden="1" x14ac:dyDescent="0.25">
      <c r="A54" s="184" t="e">
        <f>'Period 1'!#REF!</f>
        <v>#REF!</v>
      </c>
      <c r="B54" s="112"/>
      <c r="C54" s="112"/>
      <c r="D54" s="185"/>
      <c r="G54" s="472" t="e">
        <f>'Period 1'!#REF!</f>
        <v>#REF!</v>
      </c>
      <c r="H54" s="462"/>
      <c r="I54" s="462"/>
      <c r="J54" s="462"/>
      <c r="K54" s="471"/>
    </row>
    <row r="55" spans="1:11" hidden="1" x14ac:dyDescent="0.25">
      <c r="A55" s="161" t="s">
        <v>121</v>
      </c>
      <c r="B55" s="469" t="s">
        <v>122</v>
      </c>
      <c r="C55" s="469"/>
      <c r="D55" s="162" t="e">
        <f>INDEX(#REF!,106,VLOOKUP($D$7,$Q$1:$R$11,2)+4)</f>
        <v>#REF!</v>
      </c>
      <c r="G55" s="161" t="s">
        <v>121</v>
      </c>
      <c r="H55" s="469" t="s">
        <v>122</v>
      </c>
      <c r="I55" s="469"/>
      <c r="K55" s="162" t="e">
        <f>INDEX(#REF!,138,VLOOKUP($D$7,$Q$1:$R$11,2)+4)</f>
        <v>#REF!</v>
      </c>
    </row>
    <row r="56" spans="1:11" hidden="1" x14ac:dyDescent="0.25">
      <c r="A56" s="161" t="s">
        <v>123</v>
      </c>
      <c r="B56" s="469" t="s">
        <v>124</v>
      </c>
      <c r="C56" s="469"/>
      <c r="D56" s="162" t="e">
        <f>INDEX(#REF!,107,VLOOKUP($D$7,$Q$1:$R$11,2)+4)</f>
        <v>#REF!</v>
      </c>
      <c r="G56" s="161" t="s">
        <v>123</v>
      </c>
      <c r="H56" s="469" t="s">
        <v>124</v>
      </c>
      <c r="I56" s="469"/>
      <c r="K56" s="162" t="e">
        <f>INDEX(#REF!,139,VLOOKUP($D$7,$Q$1:$R$11,2)+4)</f>
        <v>#REF!</v>
      </c>
    </row>
    <row r="57" spans="1:11" hidden="1" x14ac:dyDescent="0.25">
      <c r="A57" s="163" t="s">
        <v>125</v>
      </c>
      <c r="B57" s="470" t="s">
        <v>126</v>
      </c>
      <c r="C57" s="470"/>
      <c r="D57" s="162" t="e">
        <f>INDEX(#REF!,108,VLOOKUP($D$7,$Q$1:$R$11,2)+4)</f>
        <v>#REF!</v>
      </c>
      <c r="G57" s="163" t="s">
        <v>125</v>
      </c>
      <c r="H57" s="470" t="s">
        <v>126</v>
      </c>
      <c r="I57" s="470"/>
      <c r="J57" s="115"/>
      <c r="K57" s="162" t="e">
        <f>INDEX(#REF!,140,VLOOKUP($D$7,$Q$1:$R$11,2)+4)</f>
        <v>#REF!</v>
      </c>
    </row>
    <row r="58" spans="1:11" hidden="1" x14ac:dyDescent="0.25">
      <c r="D58" s="141"/>
      <c r="K58" s="141"/>
    </row>
    <row r="59" spans="1:11" hidden="1" x14ac:dyDescent="0.25">
      <c r="A59" s="160"/>
      <c r="B59" s="140"/>
      <c r="C59" s="165" t="s">
        <v>170</v>
      </c>
      <c r="D59" s="167"/>
      <c r="G59" s="160"/>
      <c r="H59" s="140"/>
      <c r="I59" s="165" t="s">
        <v>170</v>
      </c>
      <c r="J59" s="144"/>
      <c r="K59" s="167"/>
    </row>
    <row r="60" spans="1:11" hidden="1" x14ac:dyDescent="0.25">
      <c r="A60" s="184" t="e">
        <f>'Period 1'!#REF!</f>
        <v>#REF!</v>
      </c>
      <c r="B60" s="112"/>
      <c r="C60" s="112"/>
      <c r="D60" s="185"/>
      <c r="G60" s="472" t="e">
        <f>'Period 1'!#REF!</f>
        <v>#REF!</v>
      </c>
      <c r="H60" s="462"/>
      <c r="I60" s="462"/>
      <c r="J60" s="462"/>
      <c r="K60" s="471"/>
    </row>
    <row r="61" spans="1:11" hidden="1" x14ac:dyDescent="0.25">
      <c r="A61" s="161" t="s">
        <v>121</v>
      </c>
      <c r="B61" s="469" t="s">
        <v>122</v>
      </c>
      <c r="C61" s="469"/>
      <c r="D61" s="162" t="e">
        <f>INDEX(#REF!,110,VLOOKUP($D$7,$Q$1:$R$11,2)+4)</f>
        <v>#REF!</v>
      </c>
      <c r="G61" s="161" t="s">
        <v>121</v>
      </c>
      <c r="H61" s="469" t="s">
        <v>122</v>
      </c>
      <c r="I61" s="469"/>
      <c r="K61" s="162" t="e">
        <f>INDEX(#REF!,142,VLOOKUP($D$7,$Q$1:$R$11,2)+4)</f>
        <v>#REF!</v>
      </c>
    </row>
    <row r="62" spans="1:11" hidden="1" x14ac:dyDescent="0.25">
      <c r="A62" s="161" t="s">
        <v>123</v>
      </c>
      <c r="B62" s="469" t="s">
        <v>124</v>
      </c>
      <c r="C62" s="469"/>
      <c r="D62" s="162" t="e">
        <f>INDEX(#REF!,111,VLOOKUP($D$7,$Q$1:$R$11,2)+4)</f>
        <v>#REF!</v>
      </c>
      <c r="G62" s="161" t="s">
        <v>123</v>
      </c>
      <c r="H62" s="469" t="s">
        <v>124</v>
      </c>
      <c r="I62" s="469"/>
      <c r="K62" s="162" t="e">
        <f>INDEX(#REF!,143,VLOOKUP($D$7,$Q$1:$R$11,2)+4)</f>
        <v>#REF!</v>
      </c>
    </row>
    <row r="63" spans="1:11" hidden="1" x14ac:dyDescent="0.25">
      <c r="A63" s="163" t="s">
        <v>125</v>
      </c>
      <c r="B63" s="470" t="s">
        <v>126</v>
      </c>
      <c r="C63" s="470"/>
      <c r="D63" s="162" t="e">
        <f>INDEX(#REF!,112,VLOOKUP($D$7,$Q$1:$R$11,2)+4)</f>
        <v>#REF!</v>
      </c>
      <c r="G63" s="163" t="s">
        <v>125</v>
      </c>
      <c r="H63" s="470" t="s">
        <v>126</v>
      </c>
      <c r="I63" s="470"/>
      <c r="J63" s="115"/>
      <c r="K63" s="162" t="e">
        <f>INDEX(#REF!,144,VLOOKUP($D$7,$Q$1:$R$11,2)+4)</f>
        <v>#REF!</v>
      </c>
    </row>
    <row r="64" spans="1:11" hidden="1" x14ac:dyDescent="0.25">
      <c r="D64" s="141"/>
      <c r="K64" s="141"/>
    </row>
    <row r="65" spans="1:11" hidden="1" x14ac:dyDescent="0.25">
      <c r="A65" s="160"/>
      <c r="B65" s="140"/>
      <c r="C65" s="165" t="s">
        <v>170</v>
      </c>
      <c r="D65" s="167"/>
      <c r="G65" s="160"/>
      <c r="H65" s="140"/>
      <c r="I65" s="165" t="s">
        <v>170</v>
      </c>
      <c r="J65" s="144"/>
      <c r="K65" s="167"/>
    </row>
    <row r="66" spans="1:11" hidden="1" x14ac:dyDescent="0.25">
      <c r="A66" s="184" t="e">
        <f>'Period 1'!#REF!</f>
        <v>#REF!</v>
      </c>
      <c r="B66" s="112"/>
      <c r="C66" s="112"/>
      <c r="D66" s="185"/>
      <c r="G66" s="472" t="e">
        <f>'Period 1'!#REF!</f>
        <v>#REF!</v>
      </c>
      <c r="H66" s="462"/>
      <c r="I66" s="462"/>
      <c r="J66" s="462"/>
      <c r="K66" s="471"/>
    </row>
    <row r="67" spans="1:11" hidden="1" x14ac:dyDescent="0.25">
      <c r="A67" s="161" t="s">
        <v>121</v>
      </c>
      <c r="B67" s="469" t="s">
        <v>122</v>
      </c>
      <c r="C67" s="469"/>
      <c r="D67" s="162" t="e">
        <f>INDEX(#REF!,114,VLOOKUP($D$7,$Q$1:$R$11,2)+4)</f>
        <v>#REF!</v>
      </c>
      <c r="G67" s="161" t="s">
        <v>121</v>
      </c>
      <c r="H67" s="469" t="s">
        <v>122</v>
      </c>
      <c r="I67" s="469"/>
      <c r="K67" s="162" t="e">
        <f>INDEX(#REF!,146,VLOOKUP($D$7,$Q$1:$R$11,2)+4)</f>
        <v>#REF!</v>
      </c>
    </row>
    <row r="68" spans="1:11" hidden="1" x14ac:dyDescent="0.25">
      <c r="A68" s="161" t="s">
        <v>123</v>
      </c>
      <c r="B68" s="469" t="s">
        <v>124</v>
      </c>
      <c r="C68" s="469"/>
      <c r="D68" s="162" t="e">
        <f>INDEX(#REF!,115,VLOOKUP($D$7,$Q$1:$R$11,2)+4)</f>
        <v>#REF!</v>
      </c>
      <c r="G68" s="161" t="s">
        <v>123</v>
      </c>
      <c r="H68" s="469" t="s">
        <v>124</v>
      </c>
      <c r="I68" s="469"/>
      <c r="K68" s="162" t="e">
        <f>INDEX(#REF!,147,VLOOKUP($D$7,$Q$1:$R$11,2)+4)</f>
        <v>#REF!</v>
      </c>
    </row>
    <row r="69" spans="1:11" hidden="1" x14ac:dyDescent="0.25">
      <c r="A69" s="163" t="s">
        <v>125</v>
      </c>
      <c r="B69" s="470" t="s">
        <v>126</v>
      </c>
      <c r="C69" s="470"/>
      <c r="D69" s="162" t="e">
        <f>INDEX(#REF!,116,VLOOKUP($D$7,$Q$1:$R$11,2)+4)</f>
        <v>#REF!</v>
      </c>
      <c r="G69" s="163" t="s">
        <v>125</v>
      </c>
      <c r="H69" s="470" t="s">
        <v>126</v>
      </c>
      <c r="I69" s="470"/>
      <c r="J69" s="115"/>
      <c r="K69" s="162" t="e">
        <f>INDEX(#REF!,148,VLOOKUP($D$7,$Q$1:$R$11,2)+4)</f>
        <v>#REF!</v>
      </c>
    </row>
    <row r="70" spans="1:11" hidden="1" x14ac:dyDescent="0.25">
      <c r="D70" s="141"/>
      <c r="K70" s="141"/>
    </row>
    <row r="71" spans="1:11" hidden="1" x14ac:dyDescent="0.25">
      <c r="A71" s="160"/>
      <c r="B71" s="140"/>
      <c r="C71" s="165" t="s">
        <v>170</v>
      </c>
      <c r="D71" s="167"/>
      <c r="G71" s="160"/>
      <c r="H71" s="140"/>
      <c r="I71" s="165" t="s">
        <v>170</v>
      </c>
      <c r="J71" s="144"/>
      <c r="K71" s="167"/>
    </row>
    <row r="72" spans="1:11" hidden="1" x14ac:dyDescent="0.25">
      <c r="A72" s="184" t="e">
        <f>'Period 1'!#REF!</f>
        <v>#REF!</v>
      </c>
      <c r="B72" s="112"/>
      <c r="C72" s="112"/>
      <c r="D72" s="185"/>
      <c r="G72" s="472" t="e">
        <f>'Period 1'!#REF!</f>
        <v>#REF!</v>
      </c>
      <c r="H72" s="462"/>
      <c r="I72" s="462"/>
      <c r="J72" s="462"/>
      <c r="K72" s="471"/>
    </row>
    <row r="73" spans="1:11" hidden="1" x14ac:dyDescent="0.25">
      <c r="A73" s="161" t="s">
        <v>121</v>
      </c>
      <c r="B73" s="469" t="s">
        <v>122</v>
      </c>
      <c r="C73" s="469"/>
      <c r="D73" s="162" t="e">
        <f>INDEX(#REF!,118,VLOOKUP($D$7,$Q$1:$R$11,2)+4)</f>
        <v>#REF!</v>
      </c>
      <c r="G73" s="161" t="s">
        <v>121</v>
      </c>
      <c r="H73" s="469" t="s">
        <v>122</v>
      </c>
      <c r="I73" s="469"/>
      <c r="K73" s="162" t="e">
        <f>INDEX(#REF!,150,VLOOKUP($D$7,$Q$1:$R$11,2)+4)</f>
        <v>#REF!</v>
      </c>
    </row>
    <row r="74" spans="1:11" hidden="1" x14ac:dyDescent="0.25">
      <c r="A74" s="161" t="s">
        <v>123</v>
      </c>
      <c r="B74" s="469" t="s">
        <v>124</v>
      </c>
      <c r="C74" s="469"/>
      <c r="D74" s="162" t="e">
        <f>INDEX(#REF!,119,VLOOKUP($D$7,$Q$1:$R$11,2)+4)</f>
        <v>#REF!</v>
      </c>
      <c r="G74" s="161" t="s">
        <v>123</v>
      </c>
      <c r="H74" s="469" t="s">
        <v>124</v>
      </c>
      <c r="I74" s="469"/>
      <c r="K74" s="162" t="e">
        <f>INDEX(#REF!,151,VLOOKUP($D$7,$Q$1:$R$11,2)+4)</f>
        <v>#REF!</v>
      </c>
    </row>
    <row r="75" spans="1:11" hidden="1" x14ac:dyDescent="0.25">
      <c r="A75" s="163" t="s">
        <v>125</v>
      </c>
      <c r="B75" s="470" t="s">
        <v>126</v>
      </c>
      <c r="C75" s="470"/>
      <c r="D75" s="162" t="e">
        <f>INDEX(#REF!,120,VLOOKUP($D$7,$Q$1:$R$11,2)+4)</f>
        <v>#REF!</v>
      </c>
      <c r="G75" s="163" t="s">
        <v>125</v>
      </c>
      <c r="H75" s="470" t="s">
        <v>126</v>
      </c>
      <c r="I75" s="470"/>
      <c r="J75" s="115"/>
      <c r="K75" s="162" t="e">
        <f>INDEX(#REF!,152,VLOOKUP($D$7,$Q$1:$R$11,2)+4)</f>
        <v>#REF!</v>
      </c>
    </row>
    <row r="76" spans="1:11" hidden="1" x14ac:dyDescent="0.25"/>
    <row r="77" spans="1:11" hidden="1" x14ac:dyDescent="0.25">
      <c r="A77" s="160"/>
      <c r="B77" s="140"/>
      <c r="C77" s="165" t="s">
        <v>170</v>
      </c>
      <c r="D77" s="167"/>
      <c r="G77" s="160"/>
      <c r="H77" s="140"/>
      <c r="I77" s="165" t="s">
        <v>170</v>
      </c>
      <c r="J77" s="140"/>
      <c r="K77" s="183"/>
    </row>
    <row r="78" spans="1:11" hidden="1" x14ac:dyDescent="0.25">
      <c r="A78" s="184" t="e">
        <f>'Period 1'!#REF!</f>
        <v>#REF!</v>
      </c>
      <c r="B78" s="112"/>
      <c r="C78" s="112"/>
      <c r="D78" s="185"/>
      <c r="G78" s="472" t="e">
        <f>'Period 1'!#REF!</f>
        <v>#REF!</v>
      </c>
      <c r="H78" s="462"/>
      <c r="I78" s="462"/>
      <c r="J78" s="462"/>
      <c r="K78" s="471"/>
    </row>
    <row r="79" spans="1:11" hidden="1" x14ac:dyDescent="0.25">
      <c r="A79" s="161" t="s">
        <v>121</v>
      </c>
      <c r="B79" s="469" t="s">
        <v>122</v>
      </c>
      <c r="C79" s="469"/>
      <c r="D79" s="162" t="e">
        <f>INDEX(#REF!,122,VLOOKUP($D$7,$Q$1:$R$11,2)+4)</f>
        <v>#REF!</v>
      </c>
      <c r="G79" s="161" t="s">
        <v>121</v>
      </c>
      <c r="H79" s="468" t="s">
        <v>122</v>
      </c>
      <c r="I79" s="468"/>
      <c r="K79" s="162" t="e">
        <f>INDEX(#REF!,154,VLOOKUP($D$7,$Q$1:$R$11,2)+4)</f>
        <v>#REF!</v>
      </c>
    </row>
    <row r="80" spans="1:11" hidden="1" x14ac:dyDescent="0.25">
      <c r="A80" s="161" t="s">
        <v>123</v>
      </c>
      <c r="B80" s="469" t="s">
        <v>124</v>
      </c>
      <c r="C80" s="469"/>
      <c r="D80" s="162" t="e">
        <f>INDEX(#REF!,123,VLOOKUP($D$7,$Q$1:$R$11,2)+4)</f>
        <v>#REF!</v>
      </c>
      <c r="G80" s="161" t="s">
        <v>123</v>
      </c>
      <c r="H80" s="469" t="s">
        <v>124</v>
      </c>
      <c r="I80" s="469"/>
      <c r="K80" s="162" t="e">
        <f>INDEX(#REF!,155,VLOOKUP($D$7,$Q$1:$R$11,2)+4)</f>
        <v>#REF!</v>
      </c>
    </row>
    <row r="81" spans="1:11" hidden="1" x14ac:dyDescent="0.25">
      <c r="A81" s="163" t="s">
        <v>125</v>
      </c>
      <c r="B81" s="470" t="s">
        <v>126</v>
      </c>
      <c r="C81" s="470"/>
      <c r="D81" s="162" t="e">
        <f>INDEX(#REF!,124,VLOOKUP($D$7,$Q$1:$R$11,2)+4)</f>
        <v>#REF!</v>
      </c>
      <c r="G81" s="163" t="s">
        <v>125</v>
      </c>
      <c r="H81" s="470" t="s">
        <v>126</v>
      </c>
      <c r="I81" s="470"/>
      <c r="J81" s="115"/>
      <c r="K81" s="162" t="e">
        <f>INDEX(#REF!,156,VLOOKUP($D$7,$Q$1:$R$11,2)+4)</f>
        <v>#REF!</v>
      </c>
    </row>
    <row r="82" spans="1:11" hidden="1" x14ac:dyDescent="0.25">
      <c r="D82" s="141"/>
      <c r="K82" s="141"/>
    </row>
    <row r="83" spans="1:11" hidden="1" x14ac:dyDescent="0.25">
      <c r="A83" s="160"/>
      <c r="B83" s="140"/>
      <c r="C83" s="165" t="s">
        <v>170</v>
      </c>
      <c r="D83" s="167"/>
      <c r="G83" s="160"/>
      <c r="H83" s="140"/>
      <c r="I83" s="165" t="s">
        <v>170</v>
      </c>
      <c r="J83" s="144"/>
      <c r="K83" s="167"/>
    </row>
    <row r="84" spans="1:11" hidden="1" x14ac:dyDescent="0.25">
      <c r="A84" s="184" t="e">
        <f>'Period 1'!#REF!</f>
        <v>#REF!</v>
      </c>
      <c r="B84" s="112"/>
      <c r="C84" s="112"/>
      <c r="D84" s="185"/>
      <c r="G84" s="472" t="e">
        <f>'Period 1'!#REF!</f>
        <v>#REF!</v>
      </c>
      <c r="H84" s="462"/>
      <c r="I84" s="462"/>
      <c r="J84" s="462"/>
      <c r="K84" s="471"/>
    </row>
    <row r="85" spans="1:11" hidden="1" x14ac:dyDescent="0.25">
      <c r="A85" s="161" t="s">
        <v>121</v>
      </c>
      <c r="B85" s="469" t="s">
        <v>122</v>
      </c>
      <c r="C85" s="469"/>
      <c r="D85" s="162" t="e">
        <f>INDEX(#REF!,126,VLOOKUP($D$7,$Q$1:$R$11,2)+4)</f>
        <v>#REF!</v>
      </c>
      <c r="G85" s="161" t="s">
        <v>121</v>
      </c>
      <c r="H85" s="469" t="s">
        <v>122</v>
      </c>
      <c r="I85" s="469"/>
      <c r="K85" s="162" t="e">
        <f>INDEX(#REF!,158,VLOOKUP($D$7,$Q$1:$R$11,2)+4)</f>
        <v>#REF!</v>
      </c>
    </row>
    <row r="86" spans="1:11" hidden="1" x14ac:dyDescent="0.25">
      <c r="A86" s="161" t="s">
        <v>123</v>
      </c>
      <c r="B86" s="469" t="s">
        <v>124</v>
      </c>
      <c r="C86" s="469"/>
      <c r="D86" s="162" t="e">
        <f>INDEX(#REF!,127,VLOOKUP($D$7,$Q$1:$R$11,2)+4)</f>
        <v>#REF!</v>
      </c>
      <c r="G86" s="161" t="s">
        <v>123</v>
      </c>
      <c r="H86" s="469" t="s">
        <v>124</v>
      </c>
      <c r="I86" s="469"/>
      <c r="K86" s="162" t="e">
        <f>INDEX(#REF!,159,VLOOKUP($D$7,$Q$1:$R$11,2)+4)</f>
        <v>#REF!</v>
      </c>
    </row>
    <row r="87" spans="1:11" hidden="1" x14ac:dyDescent="0.25">
      <c r="A87" s="163" t="s">
        <v>125</v>
      </c>
      <c r="B87" s="470" t="s">
        <v>126</v>
      </c>
      <c r="C87" s="470"/>
      <c r="D87" s="162" t="e">
        <f>INDEX(#REF!,128,VLOOKUP($D$7,$Q$1:$R$11,2)+4)</f>
        <v>#REF!</v>
      </c>
      <c r="G87" s="163" t="s">
        <v>125</v>
      </c>
      <c r="H87" s="470" t="s">
        <v>126</v>
      </c>
      <c r="I87" s="470"/>
      <c r="J87" s="115"/>
      <c r="K87" s="162" t="e">
        <f>INDEX(#REF!,160,VLOOKUP($D$7,$Q$1:$R$11,2)+4)</f>
        <v>#REF!</v>
      </c>
    </row>
    <row r="88" spans="1:11" hidden="1" x14ac:dyDescent="0.25">
      <c r="D88" s="141"/>
      <c r="K88" s="141"/>
    </row>
    <row r="89" spans="1:11" hidden="1" x14ac:dyDescent="0.25">
      <c r="A89" s="160"/>
      <c r="B89" s="140"/>
      <c r="C89" s="165" t="s">
        <v>170</v>
      </c>
      <c r="D89" s="167"/>
      <c r="I89" s="114"/>
      <c r="J89" s="112"/>
      <c r="K89" s="113"/>
    </row>
    <row r="90" spans="1:11" hidden="1" x14ac:dyDescent="0.25">
      <c r="A90" s="184" t="e">
        <f>'Period 1'!#REF!</f>
        <v>#REF!</v>
      </c>
      <c r="B90" s="112"/>
      <c r="C90" s="112"/>
      <c r="D90" s="185"/>
      <c r="G90" s="462"/>
      <c r="H90" s="462"/>
      <c r="I90" s="462"/>
      <c r="J90" s="462"/>
      <c r="K90" s="462"/>
    </row>
    <row r="91" spans="1:11" hidden="1" x14ac:dyDescent="0.25">
      <c r="A91" s="161" t="s">
        <v>121</v>
      </c>
      <c r="B91" s="469" t="s">
        <v>122</v>
      </c>
      <c r="C91" s="469"/>
      <c r="D91" s="162" t="e">
        <f>INDEX(#REF!,130,VLOOKUP($D$7,$Q$1:$R$11,2)+4)</f>
        <v>#REF!</v>
      </c>
      <c r="H91" s="469"/>
      <c r="I91" s="469"/>
      <c r="K91" s="141"/>
    </row>
    <row r="92" spans="1:11" hidden="1" x14ac:dyDescent="0.25">
      <c r="A92" s="161" t="s">
        <v>123</v>
      </c>
      <c r="B92" s="469" t="s">
        <v>124</v>
      </c>
      <c r="C92" s="469"/>
      <c r="D92" s="162" t="e">
        <f>INDEX(#REF!,131,VLOOKUP($D$7,$Q$1:$R$11,2)+4)</f>
        <v>#REF!</v>
      </c>
      <c r="H92" s="469"/>
      <c r="I92" s="469"/>
      <c r="K92" s="141"/>
    </row>
    <row r="93" spans="1:11" hidden="1" x14ac:dyDescent="0.25">
      <c r="A93" s="163" t="s">
        <v>125</v>
      </c>
      <c r="B93" s="470" t="s">
        <v>126</v>
      </c>
      <c r="C93" s="470"/>
      <c r="D93" s="162" t="e">
        <f>INDEX(#REF!,132,VLOOKUP($D$7,$Q$1:$R$11,2)+4)</f>
        <v>#REF!</v>
      </c>
      <c r="H93" s="469"/>
      <c r="I93" s="469"/>
      <c r="K93" s="141"/>
    </row>
    <row r="94" spans="1:11" x14ac:dyDescent="0.25">
      <c r="K94" s="141"/>
    </row>
    <row r="95" spans="1:11" x14ac:dyDescent="0.25">
      <c r="I95" s="114"/>
      <c r="J95" s="112"/>
      <c r="K95" s="113"/>
    </row>
    <row r="96" spans="1:11" x14ac:dyDescent="0.25">
      <c r="G96" s="462"/>
      <c r="H96" s="462"/>
      <c r="I96" s="462"/>
      <c r="J96" s="462"/>
      <c r="K96" s="462"/>
    </row>
    <row r="97" spans="7:11" x14ac:dyDescent="0.25">
      <c r="H97" s="469"/>
      <c r="I97" s="469"/>
      <c r="K97" s="141"/>
    </row>
    <row r="98" spans="7:11" x14ac:dyDescent="0.25">
      <c r="H98" s="469"/>
      <c r="I98" s="469"/>
      <c r="K98" s="141"/>
    </row>
    <row r="99" spans="7:11" x14ac:dyDescent="0.25">
      <c r="H99" s="469"/>
      <c r="I99" s="469"/>
      <c r="K99" s="141"/>
    </row>
    <row r="100" spans="7:11" x14ac:dyDescent="0.25">
      <c r="K100" s="141"/>
    </row>
    <row r="101" spans="7:11" x14ac:dyDescent="0.25">
      <c r="I101" s="114"/>
      <c r="J101" s="112"/>
      <c r="K101" s="113"/>
    </row>
    <row r="102" spans="7:11" x14ac:dyDescent="0.25">
      <c r="G102" s="462"/>
      <c r="H102" s="462"/>
      <c r="I102" s="462"/>
      <c r="J102" s="462"/>
      <c r="K102" s="462"/>
    </row>
    <row r="103" spans="7:11" x14ac:dyDescent="0.25">
      <c r="H103" s="469"/>
      <c r="I103" s="469"/>
      <c r="K103" s="141"/>
    </row>
    <row r="104" spans="7:11" x14ac:dyDescent="0.25">
      <c r="H104" s="469"/>
      <c r="I104" s="469"/>
      <c r="K104" s="141"/>
    </row>
    <row r="105" spans="7:11" x14ac:dyDescent="0.25">
      <c r="H105" s="469"/>
      <c r="I105" s="469"/>
      <c r="K105" s="141"/>
    </row>
  </sheetData>
  <mergeCells count="89">
    <mergeCell ref="B87:C87"/>
    <mergeCell ref="B91:C91"/>
    <mergeCell ref="B92:C92"/>
    <mergeCell ref="B93:C93"/>
    <mergeCell ref="B79:C79"/>
    <mergeCell ref="B80:C80"/>
    <mergeCell ref="B81:C81"/>
    <mergeCell ref="B85:C85"/>
    <mergeCell ref="B86:C86"/>
    <mergeCell ref="H99:I99"/>
    <mergeCell ref="G102:K102"/>
    <mergeCell ref="H103:I103"/>
    <mergeCell ref="H104:I104"/>
    <mergeCell ref="H105:I105"/>
    <mergeCell ref="H92:I92"/>
    <mergeCell ref="H93:I93"/>
    <mergeCell ref="G96:K96"/>
    <mergeCell ref="H97:I97"/>
    <mergeCell ref="H98:I98"/>
    <mergeCell ref="H85:I85"/>
    <mergeCell ref="H86:I86"/>
    <mergeCell ref="H87:I87"/>
    <mergeCell ref="G90:K90"/>
    <mergeCell ref="H91:I91"/>
    <mergeCell ref="G78:K78"/>
    <mergeCell ref="H79:I79"/>
    <mergeCell ref="H80:I80"/>
    <mergeCell ref="H81:I81"/>
    <mergeCell ref="G84:K84"/>
    <mergeCell ref="H69:I69"/>
    <mergeCell ref="G72:K72"/>
    <mergeCell ref="H73:I73"/>
    <mergeCell ref="H74:I74"/>
    <mergeCell ref="H75:I75"/>
    <mergeCell ref="H62:I62"/>
    <mergeCell ref="H63:I63"/>
    <mergeCell ref="G66:K66"/>
    <mergeCell ref="H67:I67"/>
    <mergeCell ref="H68:I68"/>
    <mergeCell ref="H55:I55"/>
    <mergeCell ref="H56:I56"/>
    <mergeCell ref="H57:I57"/>
    <mergeCell ref="G60:K60"/>
    <mergeCell ref="H61:I61"/>
    <mergeCell ref="G48:K48"/>
    <mergeCell ref="H49:I49"/>
    <mergeCell ref="H50:I50"/>
    <mergeCell ref="H51:I51"/>
    <mergeCell ref="G54:K54"/>
    <mergeCell ref="B69:C69"/>
    <mergeCell ref="B73:C73"/>
    <mergeCell ref="B74:C74"/>
    <mergeCell ref="B75:C75"/>
    <mergeCell ref="B62:C62"/>
    <mergeCell ref="B63:C63"/>
    <mergeCell ref="B67:C67"/>
    <mergeCell ref="B68:C68"/>
    <mergeCell ref="B55:C55"/>
    <mergeCell ref="B56:C56"/>
    <mergeCell ref="B57:C57"/>
    <mergeCell ref="B61:C61"/>
    <mergeCell ref="B49:C49"/>
    <mergeCell ref="B50:C50"/>
    <mergeCell ref="B51:C51"/>
    <mergeCell ref="H44:I44"/>
    <mergeCell ref="H36:I36"/>
    <mergeCell ref="H37:I37"/>
    <mergeCell ref="H38:I38"/>
    <mergeCell ref="G41:K41"/>
    <mergeCell ref="H42:I42"/>
    <mergeCell ref="H43:I43"/>
    <mergeCell ref="G35:K35"/>
    <mergeCell ref="H18:I18"/>
    <mergeCell ref="H19:I19"/>
    <mergeCell ref="H20:I20"/>
    <mergeCell ref="G23:K23"/>
    <mergeCell ref="H24:I24"/>
    <mergeCell ref="H25:I25"/>
    <mergeCell ref="H26:I26"/>
    <mergeCell ref="G29:K29"/>
    <mergeCell ref="H30:I30"/>
    <mergeCell ref="H31:I31"/>
    <mergeCell ref="H32:I32"/>
    <mergeCell ref="G17:K17"/>
    <mergeCell ref="C1:E1"/>
    <mergeCell ref="I1:K1"/>
    <mergeCell ref="C2:E2"/>
    <mergeCell ref="F7:G7"/>
    <mergeCell ref="A10:D10"/>
  </mergeCells>
  <dataValidations count="1">
    <dataValidation type="list" allowBlank="1" showInputMessage="1" showErrorMessage="1" sqref="D7" xr:uid="{00000000-0002-0000-0600-000000000000}">
      <formula1>$Q$1:$Q$11</formula1>
    </dataValidation>
  </dataValidations>
  <printOptions horizontalCentered="1"/>
  <pageMargins left="0.25" right="0.25" top="0.5" bottom="0.5" header="0" footer="0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70"/>
  <sheetViews>
    <sheetView topLeftCell="A2" workbookViewId="0">
      <selection activeCell="M28" sqref="M28"/>
    </sheetView>
  </sheetViews>
  <sheetFormatPr defaultColWidth="9.140625" defaultRowHeight="15" x14ac:dyDescent="0.25"/>
  <cols>
    <col min="1" max="1" width="6.7109375" style="105" customWidth="1"/>
    <col min="2" max="2" width="27" style="105" customWidth="1"/>
    <col min="3" max="3" width="2.7109375" style="105" customWidth="1"/>
    <col min="4" max="4" width="16.42578125" style="105" customWidth="1"/>
    <col min="5" max="5" width="2.7109375" style="105" customWidth="1"/>
    <col min="6" max="6" width="7.85546875" style="105" customWidth="1"/>
    <col min="7" max="7" width="7" style="105" customWidth="1"/>
    <col min="8" max="8" width="2.7109375" style="105" customWidth="1"/>
    <col min="9" max="9" width="10.140625" style="105" customWidth="1"/>
    <col min="10" max="10" width="2.7109375" style="105" customWidth="1"/>
    <col min="11" max="11" width="14.85546875" style="105" customWidth="1"/>
    <col min="12" max="16384" width="9.140625" style="105"/>
  </cols>
  <sheetData>
    <row r="1" spans="1:11" x14ac:dyDescent="0.25">
      <c r="A1" s="104"/>
      <c r="B1" s="104" t="s">
        <v>82</v>
      </c>
      <c r="C1" s="464"/>
      <c r="D1" s="464"/>
      <c r="E1" s="464"/>
      <c r="F1" s="104"/>
      <c r="G1" s="104"/>
      <c r="H1" s="104"/>
      <c r="I1" s="465"/>
      <c r="J1" s="465"/>
      <c r="K1" s="465"/>
    </row>
    <row r="2" spans="1:11" x14ac:dyDescent="0.25">
      <c r="A2" s="104"/>
      <c r="B2" s="104" t="s">
        <v>83</v>
      </c>
      <c r="C2" s="464"/>
      <c r="D2" s="464"/>
      <c r="E2" s="464"/>
    </row>
    <row r="4" spans="1:11" ht="21" x14ac:dyDescent="0.35">
      <c r="A4" s="106" t="s">
        <v>84</v>
      </c>
    </row>
    <row r="6" spans="1:11" x14ac:dyDescent="0.25">
      <c r="I6" s="107" t="s">
        <v>85</v>
      </c>
      <c r="K6" s="107" t="s">
        <v>86</v>
      </c>
    </row>
    <row r="7" spans="1:11" x14ac:dyDescent="0.25">
      <c r="B7" s="104" t="s">
        <v>87</v>
      </c>
      <c r="D7" s="139">
        <v>1</v>
      </c>
      <c r="F7" s="466" t="s">
        <v>88</v>
      </c>
      <c r="G7" s="466"/>
      <c r="I7" s="127" t="e">
        <f ca="1">INDIRECT("'Per"&amp;$D$7&amp;"'!"&amp;"L5")</f>
        <v>#REF!</v>
      </c>
      <c r="J7" s="128"/>
      <c r="K7" s="127" t="e">
        <f ca="1">INDIRECT("'Per"&amp;$D$7&amp;"'!"&amp;"L7")</f>
        <v>#REF!</v>
      </c>
    </row>
    <row r="8" spans="1:11" x14ac:dyDescent="0.25">
      <c r="B8" s="104"/>
      <c r="D8" s="108"/>
      <c r="F8" s="109"/>
      <c r="G8" s="109"/>
      <c r="I8" s="110"/>
      <c r="K8" s="110"/>
    </row>
    <row r="10" spans="1:11" ht="46.5" customHeight="1" x14ac:dyDescent="0.25">
      <c r="A10" s="467" t="s">
        <v>89</v>
      </c>
      <c r="B10" s="467"/>
      <c r="C10" s="467"/>
      <c r="D10" s="467"/>
    </row>
    <row r="11" spans="1:11" x14ac:dyDescent="0.25">
      <c r="A11" s="111"/>
    </row>
    <row r="12" spans="1:11" x14ac:dyDescent="0.25">
      <c r="A12" s="109"/>
      <c r="D12" s="107" t="s">
        <v>90</v>
      </c>
      <c r="K12" s="107" t="s">
        <v>90</v>
      </c>
    </row>
    <row r="13" spans="1:11" x14ac:dyDescent="0.25">
      <c r="A13" s="111"/>
    </row>
    <row r="14" spans="1:11" x14ac:dyDescent="0.25">
      <c r="A14" s="111"/>
      <c r="B14" s="114" t="s">
        <v>169</v>
      </c>
      <c r="D14" s="115"/>
      <c r="G14" s="474" t="s">
        <v>170</v>
      </c>
      <c r="H14" s="473"/>
      <c r="I14" s="473"/>
      <c r="K14" s="115"/>
    </row>
    <row r="15" spans="1:11" x14ac:dyDescent="0.25">
      <c r="A15" s="138" t="s">
        <v>127</v>
      </c>
      <c r="B15" s="138" t="s">
        <v>128</v>
      </c>
      <c r="D15" s="117" t="e">
        <f ca="1">INDIRECT("'Per"&amp;$D$7&amp;"'!"&amp;"L47")</f>
        <v>#REF!</v>
      </c>
      <c r="G15" s="462" t="e">
        <f>'Period 1'!#REF!</f>
        <v>#REF!</v>
      </c>
      <c r="H15" s="462"/>
      <c r="I15" s="462"/>
      <c r="J15" s="462"/>
      <c r="K15" s="462"/>
    </row>
    <row r="16" spans="1:11" x14ac:dyDescent="0.25">
      <c r="A16" s="138" t="s">
        <v>129</v>
      </c>
      <c r="B16" s="138" t="s">
        <v>130</v>
      </c>
      <c r="D16" s="118" t="e">
        <f ca="1">INDIRECT("'Per"&amp;$D$7&amp;"'!"&amp;"M47")</f>
        <v>#REF!</v>
      </c>
      <c r="G16" s="138" t="s">
        <v>163</v>
      </c>
      <c r="H16" s="138" t="s">
        <v>164</v>
      </c>
      <c r="K16" s="117" t="e">
        <f ca="1">INDIRECT("'Per"&amp;$D$7&amp;"'!"&amp;"K81")</f>
        <v>#REF!</v>
      </c>
    </row>
    <row r="17" spans="1:11" x14ac:dyDescent="0.25">
      <c r="A17" s="138" t="s">
        <v>131</v>
      </c>
      <c r="B17" s="138" t="s">
        <v>132</v>
      </c>
      <c r="D17" s="118" t="e">
        <f ca="1">INDIRECT("'Per"&amp;$D$7&amp;"'!"&amp;"O49")</f>
        <v>#REF!</v>
      </c>
      <c r="G17" s="138" t="s">
        <v>165</v>
      </c>
      <c r="H17" s="138" t="s">
        <v>166</v>
      </c>
      <c r="K17" s="118" t="e">
        <f ca="1">INDIRECT("'Per"&amp;$D$7&amp;"'!"&amp;"L81")</f>
        <v>#REF!</v>
      </c>
    </row>
    <row r="18" spans="1:11" x14ac:dyDescent="0.25">
      <c r="A18" s="138" t="s">
        <v>133</v>
      </c>
      <c r="B18" s="138" t="s">
        <v>134</v>
      </c>
      <c r="D18" s="118" t="e">
        <f ca="1">INDIRECT("'Per"&amp;$D$7&amp;"'!"&amp;"O50")</f>
        <v>#REF!</v>
      </c>
      <c r="G18" s="138" t="s">
        <v>167</v>
      </c>
      <c r="H18" s="138" t="s">
        <v>168</v>
      </c>
      <c r="K18" s="118" t="e">
        <f ca="1">INDIRECT("'Per"&amp;$D$7&amp;"'!"&amp;"M81")</f>
        <v>#REF!</v>
      </c>
    </row>
    <row r="19" spans="1:11" x14ac:dyDescent="0.25">
      <c r="A19" s="138" t="s">
        <v>135</v>
      </c>
      <c r="B19" s="138" t="s">
        <v>136</v>
      </c>
      <c r="D19" s="118" t="e">
        <f ca="1">INDIRECT("'Per"&amp;$D$7&amp;"'!"&amp;"O73")</f>
        <v>#REF!</v>
      </c>
      <c r="G19" s="138"/>
      <c r="H19" s="138"/>
      <c r="K19" s="143"/>
    </row>
    <row r="20" spans="1:11" x14ac:dyDescent="0.25">
      <c r="A20" s="138" t="s">
        <v>137</v>
      </c>
      <c r="B20" s="138" t="s">
        <v>138</v>
      </c>
      <c r="D20" s="118" t="e">
        <f ca="1">INDIRECT("'Per"&amp;$D$7&amp;"'!"&amp;"O75")</f>
        <v>#REF!</v>
      </c>
      <c r="G20" s="473" t="s">
        <v>170</v>
      </c>
      <c r="H20" s="473"/>
      <c r="I20" s="473"/>
      <c r="K20" s="115"/>
    </row>
    <row r="21" spans="1:11" x14ac:dyDescent="0.25">
      <c r="A21" s="138" t="s">
        <v>139</v>
      </c>
      <c r="B21" s="138" t="s">
        <v>140</v>
      </c>
      <c r="D21" s="118" t="e">
        <f ca="1">INDIRECT("'Per"&amp;$D$7&amp;"'!"&amp;"O63")</f>
        <v>#REF!</v>
      </c>
      <c r="G21" s="462" t="e">
        <f>'Period 1'!#REF!</f>
        <v>#REF!</v>
      </c>
      <c r="H21" s="462"/>
      <c r="I21" s="462"/>
      <c r="J21" s="462"/>
      <c r="K21" s="462"/>
    </row>
    <row r="22" spans="1:11" x14ac:dyDescent="0.25">
      <c r="A22" s="138" t="s">
        <v>141</v>
      </c>
      <c r="B22" s="138" t="s">
        <v>142</v>
      </c>
      <c r="D22" s="118" t="e">
        <f ca="1">INDIRECT("'Per"&amp;$D$7&amp;"'!"&amp;"O59")</f>
        <v>#REF!</v>
      </c>
      <c r="G22" s="138" t="s">
        <v>163</v>
      </c>
      <c r="H22" s="138" t="s">
        <v>164</v>
      </c>
      <c r="K22" s="117" t="e">
        <f ca="1">INDIRECT("'Per"&amp;$D$7&amp;"'!"&amp;"K82")</f>
        <v>#REF!</v>
      </c>
    </row>
    <row r="23" spans="1:11" x14ac:dyDescent="0.25">
      <c r="A23" s="138" t="s">
        <v>143</v>
      </c>
      <c r="B23" s="138" t="s">
        <v>144</v>
      </c>
      <c r="D23" s="118" t="e">
        <f ca="1">INDIRECT("'Per"&amp;$D$7&amp;"'!"&amp;"O54")</f>
        <v>#REF!</v>
      </c>
      <c r="G23" s="138" t="s">
        <v>165</v>
      </c>
      <c r="H23" s="138" t="s">
        <v>166</v>
      </c>
      <c r="K23" s="118" t="e">
        <f ca="1">INDIRECT("'Per"&amp;$D$7&amp;"'!"&amp;"L82")</f>
        <v>#REF!</v>
      </c>
    </row>
    <row r="24" spans="1:11" x14ac:dyDescent="0.25">
      <c r="A24" s="138" t="s">
        <v>145</v>
      </c>
      <c r="B24" s="138" t="s">
        <v>146</v>
      </c>
      <c r="D24" s="118" t="e">
        <f ca="1">INDIRECT("'Per"&amp;$D$7&amp;"'!"&amp;"O76")</f>
        <v>#REF!</v>
      </c>
      <c r="G24" s="138" t="s">
        <v>167</v>
      </c>
      <c r="H24" s="138" t="s">
        <v>168</v>
      </c>
      <c r="K24" s="118" t="e">
        <f ca="1">INDIRECT("'Per"&amp;$D$7&amp;"'!"&amp;"M82")</f>
        <v>#REF!</v>
      </c>
    </row>
    <row r="25" spans="1:11" x14ac:dyDescent="0.25">
      <c r="A25" s="138" t="s">
        <v>147</v>
      </c>
      <c r="B25" s="138" t="s">
        <v>148</v>
      </c>
      <c r="D25" s="118" t="e">
        <f ca="1">INDIRECT("'Per"&amp;$D$7&amp;"'!"&amp;"O52")+INDIRECT("'Per"&amp;$D$7&amp;"'!"&amp;"O53")+INDIRECT("'Per"&amp;$D$7&amp;"'!"&amp;"O55")+INDIRECT("'Per"&amp;$D$7&amp;"'!"&amp;"O57")+INDIRECT("'Per"&amp;$D$7&amp;"'!"&amp;"O58")</f>
        <v>#REF!</v>
      </c>
      <c r="G25" s="138"/>
      <c r="H25" s="138"/>
      <c r="K25" s="141"/>
    </row>
    <row r="26" spans="1:11" x14ac:dyDescent="0.25">
      <c r="A26" s="138" t="s">
        <v>149</v>
      </c>
      <c r="B26" s="138" t="s">
        <v>150</v>
      </c>
      <c r="D26" s="118" t="e">
        <f ca="1">INDIRECT("'Per"&amp;$D$7&amp;"'!"&amp;"O60")</f>
        <v>#REF!</v>
      </c>
      <c r="G26" s="473" t="s">
        <v>170</v>
      </c>
      <c r="H26" s="473"/>
      <c r="I26" s="473"/>
      <c r="K26" s="115"/>
    </row>
    <row r="27" spans="1:11" x14ac:dyDescent="0.25">
      <c r="A27" s="138" t="s">
        <v>151</v>
      </c>
      <c r="B27" s="138" t="s">
        <v>152</v>
      </c>
      <c r="D27" s="118" t="e">
        <f ca="1">INDIRECT("'Per"&amp;$D$7&amp;"'!"&amp;"O74")</f>
        <v>#REF!</v>
      </c>
      <c r="G27" s="462" t="e">
        <f>'Period 1'!#REF!</f>
        <v>#REF!</v>
      </c>
      <c r="H27" s="462"/>
      <c r="I27" s="462"/>
      <c r="J27" s="462"/>
      <c r="K27" s="462"/>
    </row>
    <row r="28" spans="1:11" x14ac:dyDescent="0.25">
      <c r="A28" s="138" t="s">
        <v>153</v>
      </c>
      <c r="B28" s="138" t="s">
        <v>154</v>
      </c>
      <c r="D28" s="118" t="e">
        <f ca="1">INDIRECT("'Per"&amp;$D$7&amp;"'!"&amp;"O56")</f>
        <v>#REF!</v>
      </c>
      <c r="G28" s="138" t="s">
        <v>163</v>
      </c>
      <c r="H28" s="138" t="s">
        <v>164</v>
      </c>
      <c r="K28" s="117" t="e">
        <f ca="1">INDIRECT("'Per"&amp;$D$7&amp;"'!"&amp;"K83")</f>
        <v>#REF!</v>
      </c>
    </row>
    <row r="29" spans="1:11" x14ac:dyDescent="0.25">
      <c r="A29" s="138" t="s">
        <v>155</v>
      </c>
      <c r="B29" s="138" t="s">
        <v>156</v>
      </c>
      <c r="D29" s="118" t="e">
        <f ca="1">INDIRECT("'Per"&amp;$D$7&amp;"'!"&amp;"O70")</f>
        <v>#REF!</v>
      </c>
      <c r="G29" s="138" t="s">
        <v>165</v>
      </c>
      <c r="H29" s="138" t="s">
        <v>166</v>
      </c>
      <c r="K29" s="118" t="e">
        <f ca="1">INDIRECT("'Per"&amp;$D$7&amp;"'!"&amp;"L83")</f>
        <v>#REF!</v>
      </c>
    </row>
    <row r="30" spans="1:11" x14ac:dyDescent="0.25">
      <c r="A30" s="138" t="s">
        <v>157</v>
      </c>
      <c r="B30" s="138" t="s">
        <v>158</v>
      </c>
      <c r="D30" s="118" t="e">
        <f ca="1">INDIRECT("'Per"&amp;$D$7&amp;"'!"&amp;"O71")</f>
        <v>#REF!</v>
      </c>
      <c r="G30" s="138" t="s">
        <v>167</v>
      </c>
      <c r="H30" s="138" t="s">
        <v>168</v>
      </c>
      <c r="K30" s="118" t="e">
        <f ca="1">INDIRECT("'Per"&amp;$D$7&amp;"'!"&amp;"M83")</f>
        <v>#REF!</v>
      </c>
    </row>
    <row r="31" spans="1:11" x14ac:dyDescent="0.25">
      <c r="A31" s="138" t="s">
        <v>159</v>
      </c>
      <c r="B31" s="138" t="s">
        <v>160</v>
      </c>
      <c r="D31" s="118" t="e">
        <f ca="1">INDIRECT("'Per"&amp;$D$7&amp;"'!"&amp;"O68")</f>
        <v>#REF!</v>
      </c>
      <c r="H31" s="112"/>
      <c r="I31" s="112"/>
      <c r="K31" s="113"/>
    </row>
    <row r="32" spans="1:11" x14ac:dyDescent="0.25">
      <c r="A32" s="138" t="s">
        <v>161</v>
      </c>
      <c r="B32" s="138" t="s">
        <v>162</v>
      </c>
      <c r="D32" s="118" t="e">
        <f ca="1">INDIRECT("'Per"&amp;$D$7&amp;"'!"&amp;"O69")</f>
        <v>#REF!</v>
      </c>
      <c r="G32" s="473" t="s">
        <v>170</v>
      </c>
      <c r="H32" s="473"/>
      <c r="I32" s="473"/>
      <c r="K32" s="115"/>
    </row>
    <row r="33" spans="1:11" x14ac:dyDescent="0.25">
      <c r="A33" s="138" t="s">
        <v>167</v>
      </c>
      <c r="B33" s="138" t="s">
        <v>168</v>
      </c>
      <c r="D33" s="118" t="e">
        <f ca="1">INDIRECT("'Per"&amp;$D$7&amp;"'!"&amp;"O98")-INDIRECT("'Per"&amp;$D$7&amp;"'!"&amp;"M86")-D37</f>
        <v>#REF!</v>
      </c>
      <c r="G33" s="462" t="e">
        <f>'Period 1'!#REF!</f>
        <v>#REF!</v>
      </c>
      <c r="H33" s="462"/>
      <c r="I33" s="462"/>
      <c r="J33" s="462"/>
      <c r="K33" s="462"/>
    </row>
    <row r="34" spans="1:11" x14ac:dyDescent="0.25">
      <c r="B34" s="112"/>
      <c r="C34" s="112"/>
      <c r="G34" s="138" t="s">
        <v>163</v>
      </c>
      <c r="H34" s="138" t="s">
        <v>164</v>
      </c>
      <c r="K34" s="117" t="e">
        <f ca="1">INDIRECT("'Per"&amp;$D$7&amp;"'!"&amp;"K84")</f>
        <v>#REF!</v>
      </c>
    </row>
    <row r="35" spans="1:11" x14ac:dyDescent="0.25">
      <c r="B35" s="142" t="s">
        <v>170</v>
      </c>
      <c r="D35" s="126"/>
      <c r="G35" s="138" t="s">
        <v>165</v>
      </c>
      <c r="H35" s="138" t="s">
        <v>166</v>
      </c>
      <c r="K35" s="118" t="e">
        <f ca="1">INDIRECT("'Per"&amp;$D$7&amp;"'!"&amp;"L84")</f>
        <v>#REF!</v>
      </c>
    </row>
    <row r="36" spans="1:11" x14ac:dyDescent="0.25">
      <c r="A36" s="131" t="s">
        <v>187</v>
      </c>
      <c r="B36" s="130" t="s">
        <v>171</v>
      </c>
      <c r="C36" s="112"/>
      <c r="D36" s="117" t="e">
        <f ca="1">INDIRECT("'Per"&amp;$D$7&amp;"'!"&amp;"O61")</f>
        <v>#REF!</v>
      </c>
      <c r="G36" s="138" t="s">
        <v>167</v>
      </c>
      <c r="H36" s="138" t="s">
        <v>168</v>
      </c>
      <c r="K36" s="118" t="e">
        <f ca="1">INDIRECT("'Per"&amp;$D$7&amp;"'!"&amp;"M84")</f>
        <v>#REF!</v>
      </c>
    </row>
    <row r="37" spans="1:11" x14ac:dyDescent="0.25">
      <c r="A37" s="138" t="s">
        <v>167</v>
      </c>
      <c r="B37" s="138" t="s">
        <v>168</v>
      </c>
      <c r="C37" s="112"/>
      <c r="D37" s="141" t="e">
        <f ca="1">ROUNDUP(D36*INDIRECT("'Per"&amp;$D$7&amp;"'!"&amp;"O91"),0)</f>
        <v>#REF!</v>
      </c>
      <c r="F37" s="131"/>
      <c r="H37" s="112"/>
      <c r="I37" s="112"/>
      <c r="K37" s="113"/>
    </row>
    <row r="38" spans="1:11" x14ac:dyDescent="0.25">
      <c r="A38" s="131"/>
      <c r="B38" s="130"/>
      <c r="C38" s="112"/>
      <c r="D38" s="143"/>
      <c r="G38" s="473" t="s">
        <v>170</v>
      </c>
      <c r="H38" s="473"/>
      <c r="I38" s="473"/>
      <c r="K38" s="115"/>
    </row>
    <row r="39" spans="1:11" x14ac:dyDescent="0.25">
      <c r="A39" s="131"/>
      <c r="B39" s="142" t="s">
        <v>170</v>
      </c>
      <c r="D39" s="126"/>
      <c r="G39" s="462" t="e">
        <f>'Period 1'!#REF!</f>
        <v>#REF!</v>
      </c>
      <c r="H39" s="462"/>
      <c r="I39" s="462"/>
      <c r="J39" s="462"/>
      <c r="K39" s="462"/>
    </row>
    <row r="40" spans="1:11" x14ac:dyDescent="0.25">
      <c r="A40" s="131" t="s">
        <v>187</v>
      </c>
      <c r="B40" s="116" t="s">
        <v>172</v>
      </c>
      <c r="C40" s="112"/>
      <c r="D40" s="117" t="e">
        <f ca="1">INDIRECT("'Per"&amp;$D$7&amp;"'!"&amp;"O77")</f>
        <v>#REF!</v>
      </c>
      <c r="G40" s="138" t="s">
        <v>163</v>
      </c>
      <c r="H40" s="138" t="s">
        <v>164</v>
      </c>
      <c r="K40" s="117" t="e">
        <f ca="1">INDIRECT("'Per"&amp;$D$7&amp;"'!"&amp;"K85")</f>
        <v>#REF!</v>
      </c>
    </row>
    <row r="41" spans="1:11" x14ac:dyDescent="0.25">
      <c r="B41" s="112"/>
      <c r="C41" s="112"/>
      <c r="D41" s="113"/>
      <c r="G41" s="138" t="s">
        <v>165</v>
      </c>
      <c r="H41" s="138" t="s">
        <v>166</v>
      </c>
      <c r="K41" s="118" t="e">
        <f ca="1">INDIRECT("'Per"&amp;$D$7&amp;"'!"&amp;"L85")</f>
        <v>#REF!</v>
      </c>
    </row>
    <row r="42" spans="1:11" x14ac:dyDescent="0.25">
      <c r="B42" s="114"/>
      <c r="D42" s="113"/>
      <c r="G42" s="138" t="s">
        <v>167</v>
      </c>
      <c r="H42" s="138" t="s">
        <v>168</v>
      </c>
      <c r="K42" s="118" t="e">
        <f ca="1">INDIRECT("'Per"&amp;$D$7&amp;"'!"&amp;"M85")</f>
        <v>#REF!</v>
      </c>
    </row>
    <row r="43" spans="1:11" x14ac:dyDescent="0.25">
      <c r="B43" s="114"/>
      <c r="D43" s="113"/>
      <c r="G43" s="138"/>
      <c r="H43" s="138"/>
      <c r="K43" s="141"/>
    </row>
    <row r="44" spans="1:11" x14ac:dyDescent="0.25">
      <c r="A44" s="115"/>
    </row>
    <row r="45" spans="1:11" x14ac:dyDescent="0.25">
      <c r="B45" s="144" t="s">
        <v>191</v>
      </c>
      <c r="C45" s="144"/>
      <c r="D45" s="143" t="e">
        <f ca="1">SUM(D15:D33,D36,D37,D40,K16:K18,K22:K24,K28:K30,K34:K36,K40:K42)</f>
        <v>#REF!</v>
      </c>
      <c r="E45" s="140"/>
      <c r="F45" s="140"/>
      <c r="G45" s="140"/>
      <c r="H45" s="140"/>
      <c r="I45" s="140"/>
      <c r="J45" s="140"/>
      <c r="K45" s="140"/>
    </row>
    <row r="70" spans="4:4" x14ac:dyDescent="0.25">
      <c r="D70" s="113"/>
    </row>
  </sheetData>
  <mergeCells count="15">
    <mergeCell ref="G39:K39"/>
    <mergeCell ref="G33:K33"/>
    <mergeCell ref="G27:K27"/>
    <mergeCell ref="G21:K21"/>
    <mergeCell ref="G15:K15"/>
    <mergeCell ref="C1:E1"/>
    <mergeCell ref="I1:K1"/>
    <mergeCell ref="C2:E2"/>
    <mergeCell ref="A10:D10"/>
    <mergeCell ref="G38:I38"/>
    <mergeCell ref="G32:I32"/>
    <mergeCell ref="G26:I26"/>
    <mergeCell ref="G20:I20"/>
    <mergeCell ref="G14:I14"/>
    <mergeCell ref="F7:G7"/>
  </mergeCells>
  <dataValidations count="1">
    <dataValidation type="list" allowBlank="1" showInputMessage="1" showErrorMessage="1" sqref="D7" xr:uid="{00000000-0002-0000-0700-000000000000}">
      <formula1>"1,2,3,4,5"</formula1>
    </dataValidation>
  </dataValidations>
  <printOptions horizontalCentered="1"/>
  <pageMargins left="0.25" right="0.25" top="0.5" bottom="0.5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5FD2FCB7C8184C9A9AB60C389BB232" ma:contentTypeVersion="0" ma:contentTypeDescription="Create a new document." ma:contentTypeScope="" ma:versionID="c7b1a1f7334ae9172b7526f8212801e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AF212A-94AB-4E90-9342-147F1194FE52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elements/1.1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42F4E27-1859-4719-B8A5-66207E74AB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B556A2C-B5C0-4064-88EF-BBD6658513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19</vt:i4>
      </vt:variant>
    </vt:vector>
  </HeadingPairs>
  <TitlesOfParts>
    <vt:vector size="28" baseType="lpstr">
      <vt:lpstr>Period 1</vt:lpstr>
      <vt:lpstr>Period 2</vt:lpstr>
      <vt:lpstr>Per6</vt:lpstr>
      <vt:lpstr>Per7</vt:lpstr>
      <vt:lpstr>Per8</vt:lpstr>
      <vt:lpstr>Per9</vt:lpstr>
      <vt:lpstr>Per10</vt:lpstr>
      <vt:lpstr>Setup_L4 (RSC use only)</vt:lpstr>
      <vt:lpstr>Setup_L5 (RSC use only)</vt:lpstr>
      <vt:lpstr>'Period 2'!EmpPer</vt:lpstr>
      <vt:lpstr>EmpPer</vt:lpstr>
      <vt:lpstr>'Period 2'!FT_BE_09</vt:lpstr>
      <vt:lpstr>FT_BE_09</vt:lpstr>
      <vt:lpstr>'Period 2'!Hourly</vt:lpstr>
      <vt:lpstr>Hourly</vt:lpstr>
      <vt:lpstr>'Per10'!Print_Area</vt:lpstr>
      <vt:lpstr>'Per6'!Print_Area</vt:lpstr>
      <vt:lpstr>'Per7'!Print_Area</vt:lpstr>
      <vt:lpstr>'Per8'!Print_Area</vt:lpstr>
      <vt:lpstr>'Per9'!Print_Area</vt:lpstr>
      <vt:lpstr>'Period 1'!Print_Area</vt:lpstr>
      <vt:lpstr>'Period 2'!Print_Area</vt:lpstr>
      <vt:lpstr>'Setup_L4 (RSC use only)'!Print_Area</vt:lpstr>
      <vt:lpstr>'Setup_L5 (RSC use only)'!Print_Area</vt:lpstr>
      <vt:lpstr>'Period 2'!PT_BE_12</vt:lpstr>
      <vt:lpstr>PT_BE_12</vt:lpstr>
      <vt:lpstr>'Period 2'!Select</vt:lpstr>
      <vt:lpstr>Select</vt:lpstr>
    </vt:vector>
  </TitlesOfParts>
  <Company>UTSA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Lyndsey Lepovitz</cp:lastModifiedBy>
  <cp:lastPrinted>2019-03-29T12:49:25Z</cp:lastPrinted>
  <dcterms:created xsi:type="dcterms:W3CDTF">2001-05-08T17:32:17Z</dcterms:created>
  <dcterms:modified xsi:type="dcterms:W3CDTF">2025-10-08T13:27:38Z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0x010100C75FD2FCB7C8184C9A9AB60C389BB232</vt:lpwstr>
  </property>
</Properties>
</file>