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tsacloud-my.sharepoint.com/personal/justin_marmolejo_utsa_edu/Documents/Office of Sponsored Projects/FY25 Budget Template/"/>
    </mc:Choice>
  </mc:AlternateContent>
  <xr:revisionPtr revIDLastSave="0" documentId="8_{FF2BBF08-2C39-48A8-A8A5-08F923589F12}" xr6:coauthVersionLast="47" xr6:coauthVersionMax="47" xr10:uidLastSave="{00000000-0000-0000-0000-000000000000}"/>
  <bookViews>
    <workbookView xWindow="28680" yWindow="-120" windowWidth="29040" windowHeight="15840" tabRatio="695" firstSheet="2" activeTab="2" xr2:uid="{00000000-000D-0000-FFFF-FFFF00000000}"/>
  </bookViews>
  <sheets>
    <sheet name="Notes" sheetId="62" r:id="rId1"/>
    <sheet name="Unhiding_Rows&amp;Tabs" sheetId="63" r:id="rId2"/>
    <sheet name="Per1" sheetId="30" r:id="rId3"/>
    <sheet name="Per2" sheetId="53" r:id="rId4"/>
    <sheet name="Per3" sheetId="54" r:id="rId5"/>
    <sheet name="Per4" sheetId="55" r:id="rId6"/>
    <sheet name="Per5" sheetId="56" r:id="rId7"/>
    <sheet name="Per6" sheetId="57" state="hidden" r:id="rId8"/>
    <sheet name="Per7" sheetId="58" state="hidden" r:id="rId9"/>
    <sheet name="Per8" sheetId="59" state="hidden" r:id="rId10"/>
    <sheet name="Per9" sheetId="60" state="hidden" r:id="rId11"/>
    <sheet name="Per10" sheetId="61" state="hidden" r:id="rId12"/>
    <sheet name="Summary" sheetId="35" r:id="rId13"/>
    <sheet name="ProtectingSheet" sheetId="64" state="hidden" r:id="rId14"/>
    <sheet name="Setup_L4 (RSC use only)" sheetId="46" state="hidden" r:id="rId15"/>
    <sheet name="Setup_L5 (RSC use only)" sheetId="43" state="hidden" r:id="rId16"/>
  </sheets>
  <externalReferences>
    <externalReference r:id="rId17"/>
  </externalReferences>
  <definedNames>
    <definedName name="EmpPer">'Per1'!$B$12:$B$18</definedName>
    <definedName name="FT_BE_09">'Per1'!$E$12:$E$19</definedName>
    <definedName name="FT_BE_12">'Per1'!$F$12:$F$19</definedName>
    <definedName name="Hourly">'Per1'!$J$12:$J$13</definedName>
    <definedName name="_xlnm.Print_Area" localSheetId="0">Notes!$A$1:$H$61</definedName>
    <definedName name="_xlnm.Print_Area" localSheetId="2">'Per1'!$A$1:$O$158</definedName>
    <definedName name="_xlnm.Print_Area" localSheetId="11">'Per10'!$A$1:$O$156</definedName>
    <definedName name="_xlnm.Print_Area" localSheetId="3">'Per2'!$A$1:$O$158</definedName>
    <definedName name="_xlnm.Print_Area" localSheetId="4">'Per3'!$A$1:$O$158</definedName>
    <definedName name="_xlnm.Print_Area" localSheetId="5">'Per4'!$A$1:$O$158</definedName>
    <definedName name="_xlnm.Print_Area" localSheetId="6">'Per5'!$A$1:$O$158</definedName>
    <definedName name="_xlnm.Print_Area" localSheetId="7">'Per6'!$A$1:$O$156</definedName>
    <definedName name="_xlnm.Print_Area" localSheetId="8">'Per7'!$A$1:$O$156</definedName>
    <definedName name="_xlnm.Print_Area" localSheetId="9">'Per8'!$A$1:$O$156</definedName>
    <definedName name="_xlnm.Print_Area" localSheetId="10">'Per9'!$A$1:$O$156</definedName>
    <definedName name="_xlnm.Print_Area" localSheetId="13">ProtectingSheet!$A$2:$M$63</definedName>
    <definedName name="_xlnm.Print_Area" localSheetId="14">'Setup_L4 (RSC use only)'!$A$1:$K$44</definedName>
    <definedName name="_xlnm.Print_Area" localSheetId="15">'Setup_L5 (RSC use only)'!$A$1:$K$45</definedName>
    <definedName name="_xlnm.Print_Area" localSheetId="12">Summary!$A$1:$O$77</definedName>
    <definedName name="_xlnm.Print_Area" localSheetId="1">'Unhiding_Rows&amp;Tabs'!$A$1:$M$62</definedName>
    <definedName name="PT_BE_12">'Per1'!$G$12:$G$19</definedName>
    <definedName name="PT_NB_12">'Per1'!$H$12:$H$13</definedName>
    <definedName name="Select" localSheetId="0">[1]Per1!$I$11</definedName>
    <definedName name="Select" localSheetId="13">[1]Per1!$I$11</definedName>
    <definedName name="Select" localSheetId="1">[1]Per1!$I$11</definedName>
    <definedName name="Select">'Per1'!$I$12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35" l="1"/>
  <c r="N13" i="35" l="1"/>
  <c r="M13" i="35"/>
  <c r="L13" i="35"/>
  <c r="K13" i="35"/>
  <c r="J13" i="35"/>
  <c r="H13" i="35"/>
  <c r="O12" i="35"/>
  <c r="N12" i="35"/>
  <c r="M12" i="35"/>
  <c r="L12" i="35"/>
  <c r="K12" i="35"/>
  <c r="J12" i="35"/>
  <c r="I12" i="35"/>
  <c r="H12" i="35"/>
  <c r="G13" i="35"/>
  <c r="G12" i="35"/>
  <c r="F13" i="35"/>
  <c r="F12" i="35"/>
  <c r="L7" i="54"/>
  <c r="L5" i="53"/>
  <c r="E34" i="35"/>
  <c r="F34" i="35"/>
  <c r="O87" i="30"/>
  <c r="O70" i="30"/>
  <c r="L21" i="30"/>
  <c r="L16" i="30"/>
  <c r="L12" i="30"/>
  <c r="O70" i="53"/>
  <c r="O13" i="35" l="1"/>
  <c r="K32" i="30"/>
  <c r="K32" i="54"/>
  <c r="K32" i="55"/>
  <c r="K32" i="56"/>
  <c r="K32" i="57"/>
  <c r="K32" i="58"/>
  <c r="K32" i="59"/>
  <c r="K32" i="60"/>
  <c r="K32" i="61"/>
  <c r="K32" i="53"/>
  <c r="K27" i="30"/>
  <c r="K27" i="54"/>
  <c r="K27" i="55"/>
  <c r="K27" i="56"/>
  <c r="K27" i="57"/>
  <c r="K27" i="58"/>
  <c r="K27" i="59"/>
  <c r="K27" i="60"/>
  <c r="K27" i="61"/>
  <c r="K27" i="53"/>
  <c r="K26" i="30"/>
  <c r="K26" i="54"/>
  <c r="K26" i="55"/>
  <c r="K26" i="56"/>
  <c r="K26" i="57"/>
  <c r="K26" i="58"/>
  <c r="K26" i="59"/>
  <c r="K26" i="60"/>
  <c r="K26" i="61"/>
  <c r="K26" i="53"/>
  <c r="K20" i="30"/>
  <c r="K20" i="54"/>
  <c r="K20" i="55"/>
  <c r="K20" i="56"/>
  <c r="K20" i="57"/>
  <c r="K20" i="58"/>
  <c r="K20" i="59"/>
  <c r="K20" i="60"/>
  <c r="K20" i="61"/>
  <c r="K20" i="53"/>
  <c r="L25" i="30"/>
  <c r="L25" i="54"/>
  <c r="L25" i="55"/>
  <c r="L25" i="56"/>
  <c r="L25" i="57"/>
  <c r="L25" i="58"/>
  <c r="L25" i="59"/>
  <c r="L25" i="60"/>
  <c r="L25" i="61"/>
  <c r="L25" i="53"/>
  <c r="K25" i="30"/>
  <c r="K25" i="54"/>
  <c r="K25" i="55"/>
  <c r="K25" i="56"/>
  <c r="K25" i="57"/>
  <c r="K25" i="58"/>
  <c r="K25" i="59"/>
  <c r="K25" i="60"/>
  <c r="K25" i="61"/>
  <c r="K25" i="53"/>
  <c r="N38" i="35" l="1"/>
  <c r="M38" i="35"/>
  <c r="L38" i="35"/>
  <c r="K38" i="35"/>
  <c r="J38" i="35"/>
  <c r="I38" i="35"/>
  <c r="H38" i="35"/>
  <c r="G38" i="35"/>
  <c r="F38" i="35"/>
  <c r="N36" i="35"/>
  <c r="M36" i="35"/>
  <c r="L36" i="35"/>
  <c r="K36" i="35"/>
  <c r="J36" i="35"/>
  <c r="I36" i="35"/>
  <c r="H36" i="35"/>
  <c r="G36" i="35"/>
  <c r="F36" i="35"/>
  <c r="N35" i="35"/>
  <c r="M35" i="35"/>
  <c r="L35" i="35"/>
  <c r="K35" i="35"/>
  <c r="J35" i="35"/>
  <c r="I35" i="35"/>
  <c r="H35" i="35"/>
  <c r="G35" i="35"/>
  <c r="F35" i="35"/>
  <c r="I27" i="35"/>
  <c r="N25" i="35"/>
  <c r="M25" i="35"/>
  <c r="L25" i="35"/>
  <c r="K25" i="35"/>
  <c r="J25" i="35"/>
  <c r="I25" i="35"/>
  <c r="H25" i="35"/>
  <c r="G25" i="35"/>
  <c r="F25" i="35"/>
  <c r="F40" i="54"/>
  <c r="F41" i="54"/>
  <c r="F42" i="54"/>
  <c r="F43" i="54"/>
  <c r="F44" i="54"/>
  <c r="F45" i="54"/>
  <c r="F46" i="54"/>
  <c r="F47" i="54"/>
  <c r="F48" i="54"/>
  <c r="F49" i="54"/>
  <c r="F50" i="54"/>
  <c r="F51" i="54"/>
  <c r="F52" i="54"/>
  <c r="F53" i="54"/>
  <c r="F54" i="54"/>
  <c r="F55" i="54"/>
  <c r="F56" i="54"/>
  <c r="F57" i="54"/>
  <c r="F58" i="54"/>
  <c r="F59" i="54"/>
  <c r="F60" i="54"/>
  <c r="F61" i="54"/>
  <c r="F62" i="54"/>
  <c r="F63" i="54"/>
  <c r="F64" i="54"/>
  <c r="F65" i="54"/>
  <c r="F40" i="55"/>
  <c r="F41" i="55"/>
  <c r="F42" i="55"/>
  <c r="F43" i="55"/>
  <c r="F44" i="55"/>
  <c r="F45" i="55"/>
  <c r="F46" i="55"/>
  <c r="F47" i="55"/>
  <c r="F48" i="55"/>
  <c r="F49" i="55"/>
  <c r="F50" i="55"/>
  <c r="F51" i="55"/>
  <c r="F52" i="55"/>
  <c r="F53" i="55"/>
  <c r="F54" i="55"/>
  <c r="F55" i="55"/>
  <c r="F56" i="55"/>
  <c r="F57" i="55"/>
  <c r="F58" i="55"/>
  <c r="F59" i="55"/>
  <c r="F60" i="55"/>
  <c r="F61" i="55"/>
  <c r="F62" i="55"/>
  <c r="F63" i="55"/>
  <c r="F64" i="55"/>
  <c r="F65" i="55"/>
  <c r="F40" i="56"/>
  <c r="F41" i="56"/>
  <c r="F42" i="56"/>
  <c r="F43" i="56"/>
  <c r="F44" i="56"/>
  <c r="F45" i="56"/>
  <c r="F46" i="56"/>
  <c r="F47" i="56"/>
  <c r="F48" i="56"/>
  <c r="F49" i="56"/>
  <c r="F50" i="56"/>
  <c r="F51" i="56"/>
  <c r="F52" i="56"/>
  <c r="F53" i="56"/>
  <c r="F54" i="56"/>
  <c r="F55" i="56"/>
  <c r="F56" i="56"/>
  <c r="F57" i="56"/>
  <c r="F58" i="56"/>
  <c r="F59" i="56"/>
  <c r="F60" i="56"/>
  <c r="F61" i="56"/>
  <c r="F62" i="56"/>
  <c r="F63" i="56"/>
  <c r="F64" i="56"/>
  <c r="F65" i="56"/>
  <c r="F40" i="57"/>
  <c r="F41" i="57"/>
  <c r="F42" i="57"/>
  <c r="F43" i="57"/>
  <c r="F44" i="57"/>
  <c r="F45" i="57"/>
  <c r="F46" i="57"/>
  <c r="F47" i="57"/>
  <c r="F48" i="57"/>
  <c r="F49" i="57"/>
  <c r="F50" i="57"/>
  <c r="F51" i="57"/>
  <c r="F52" i="57"/>
  <c r="F53" i="57"/>
  <c r="F54" i="57"/>
  <c r="F55" i="57"/>
  <c r="F56" i="57"/>
  <c r="F57" i="57"/>
  <c r="F58" i="57"/>
  <c r="F59" i="57"/>
  <c r="F60" i="57"/>
  <c r="F61" i="57"/>
  <c r="F62" i="57"/>
  <c r="F63" i="57"/>
  <c r="F64" i="57"/>
  <c r="F65" i="57"/>
  <c r="F40" i="58"/>
  <c r="F41" i="58"/>
  <c r="F42" i="58"/>
  <c r="F43" i="58"/>
  <c r="F44" i="58"/>
  <c r="F45" i="58"/>
  <c r="F46" i="58"/>
  <c r="F47" i="58"/>
  <c r="F48" i="58"/>
  <c r="F49" i="58"/>
  <c r="F50" i="58"/>
  <c r="F51" i="58"/>
  <c r="F52" i="58"/>
  <c r="F53" i="58"/>
  <c r="F54" i="58"/>
  <c r="F55" i="58"/>
  <c r="F56" i="58"/>
  <c r="F57" i="58"/>
  <c r="F58" i="58"/>
  <c r="F59" i="58"/>
  <c r="F60" i="58"/>
  <c r="F61" i="58"/>
  <c r="F62" i="58"/>
  <c r="F63" i="58"/>
  <c r="F64" i="58"/>
  <c r="F65" i="58"/>
  <c r="F40" i="59"/>
  <c r="F41" i="59"/>
  <c r="F42" i="59"/>
  <c r="F43" i="59"/>
  <c r="F44" i="59"/>
  <c r="F45" i="59"/>
  <c r="F46" i="59"/>
  <c r="F47" i="59"/>
  <c r="F48" i="59"/>
  <c r="F49" i="59"/>
  <c r="F50" i="59"/>
  <c r="F51" i="59"/>
  <c r="F52" i="59"/>
  <c r="F53" i="59"/>
  <c r="F54" i="59"/>
  <c r="F55" i="59"/>
  <c r="F56" i="59"/>
  <c r="F57" i="59"/>
  <c r="F58" i="59"/>
  <c r="F59" i="59"/>
  <c r="F60" i="59"/>
  <c r="F61" i="59"/>
  <c r="F62" i="59"/>
  <c r="F63" i="59"/>
  <c r="F64" i="59"/>
  <c r="F65" i="59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F56" i="60"/>
  <c r="F57" i="60"/>
  <c r="F58" i="60"/>
  <c r="F59" i="60"/>
  <c r="F60" i="60"/>
  <c r="F61" i="60"/>
  <c r="F62" i="60"/>
  <c r="F63" i="60"/>
  <c r="F64" i="60"/>
  <c r="F65" i="60"/>
  <c r="F40" i="61"/>
  <c r="F41" i="61"/>
  <c r="F42" i="61"/>
  <c r="F43" i="61"/>
  <c r="F44" i="61"/>
  <c r="F45" i="61"/>
  <c r="F46" i="61"/>
  <c r="F47" i="61"/>
  <c r="F48" i="61"/>
  <c r="F49" i="61"/>
  <c r="F50" i="61"/>
  <c r="F51" i="61"/>
  <c r="F52" i="61"/>
  <c r="F53" i="61"/>
  <c r="F54" i="61"/>
  <c r="F55" i="61"/>
  <c r="F56" i="61"/>
  <c r="F57" i="61"/>
  <c r="F58" i="61"/>
  <c r="F59" i="61"/>
  <c r="F60" i="61"/>
  <c r="F61" i="61"/>
  <c r="F62" i="61"/>
  <c r="F63" i="61"/>
  <c r="F64" i="61"/>
  <c r="F65" i="61"/>
  <c r="F40" i="53"/>
  <c r="F41" i="53"/>
  <c r="F42" i="53"/>
  <c r="F43" i="53"/>
  <c r="F44" i="53"/>
  <c r="F45" i="53"/>
  <c r="F46" i="53"/>
  <c r="F47" i="53"/>
  <c r="F48" i="53"/>
  <c r="F49" i="53"/>
  <c r="F50" i="53"/>
  <c r="F51" i="53"/>
  <c r="F52" i="53"/>
  <c r="F53" i="53"/>
  <c r="F54" i="53"/>
  <c r="F55" i="53"/>
  <c r="F56" i="53"/>
  <c r="F57" i="53"/>
  <c r="F58" i="53"/>
  <c r="F59" i="53"/>
  <c r="F60" i="53"/>
  <c r="F61" i="53"/>
  <c r="F62" i="53"/>
  <c r="F63" i="53"/>
  <c r="F64" i="53"/>
  <c r="F65" i="53"/>
  <c r="F39" i="54"/>
  <c r="F39" i="55"/>
  <c r="F39" i="56"/>
  <c r="F39" i="57"/>
  <c r="F39" i="58"/>
  <c r="F39" i="59"/>
  <c r="F39" i="60"/>
  <c r="F39" i="61"/>
  <c r="F39" i="53"/>
  <c r="E40" i="54"/>
  <c r="E41" i="54"/>
  <c r="E42" i="54"/>
  <c r="E43" i="54"/>
  <c r="E44" i="54"/>
  <c r="E45" i="54"/>
  <c r="E46" i="54"/>
  <c r="E47" i="54"/>
  <c r="E48" i="54"/>
  <c r="E49" i="54"/>
  <c r="E50" i="54"/>
  <c r="E51" i="54"/>
  <c r="E52" i="54"/>
  <c r="E53" i="54"/>
  <c r="E54" i="54"/>
  <c r="E55" i="54"/>
  <c r="E56" i="54"/>
  <c r="E57" i="54"/>
  <c r="E58" i="54"/>
  <c r="E59" i="54"/>
  <c r="E60" i="54"/>
  <c r="E61" i="54"/>
  <c r="E62" i="54"/>
  <c r="E63" i="54"/>
  <c r="E64" i="54"/>
  <c r="E65" i="54"/>
  <c r="E40" i="55"/>
  <c r="E41" i="55"/>
  <c r="E42" i="55"/>
  <c r="E43" i="55"/>
  <c r="E44" i="55"/>
  <c r="E45" i="55"/>
  <c r="E46" i="55"/>
  <c r="E47" i="55"/>
  <c r="E48" i="55"/>
  <c r="E49" i="55"/>
  <c r="E50" i="55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E65" i="55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E65" i="57"/>
  <c r="E40" i="58"/>
  <c r="E41" i="58"/>
  <c r="E42" i="58"/>
  <c r="E43" i="58"/>
  <c r="E44" i="58"/>
  <c r="E45" i="58"/>
  <c r="E46" i="58"/>
  <c r="E47" i="58"/>
  <c r="E48" i="58"/>
  <c r="E49" i="58"/>
  <c r="E50" i="58"/>
  <c r="E51" i="58"/>
  <c r="E52" i="58"/>
  <c r="E53" i="58"/>
  <c r="E54" i="58"/>
  <c r="E55" i="58"/>
  <c r="E56" i="58"/>
  <c r="E57" i="58"/>
  <c r="E58" i="58"/>
  <c r="E59" i="58"/>
  <c r="E60" i="58"/>
  <c r="E61" i="58"/>
  <c r="E62" i="58"/>
  <c r="E63" i="58"/>
  <c r="E64" i="58"/>
  <c r="E65" i="58"/>
  <c r="E40" i="59"/>
  <c r="E41" i="59"/>
  <c r="E42" i="59"/>
  <c r="E43" i="59"/>
  <c r="E44" i="59"/>
  <c r="E45" i="59"/>
  <c r="E46" i="59"/>
  <c r="E47" i="59"/>
  <c r="E48" i="59"/>
  <c r="E49" i="59"/>
  <c r="E50" i="59"/>
  <c r="E51" i="59"/>
  <c r="E52" i="59"/>
  <c r="E53" i="59"/>
  <c r="E54" i="59"/>
  <c r="E55" i="59"/>
  <c r="E56" i="59"/>
  <c r="E57" i="59"/>
  <c r="E58" i="59"/>
  <c r="E59" i="59"/>
  <c r="E60" i="59"/>
  <c r="E61" i="59"/>
  <c r="E62" i="59"/>
  <c r="E63" i="59"/>
  <c r="E64" i="59"/>
  <c r="E65" i="59"/>
  <c r="E40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54" i="60"/>
  <c r="E55" i="60"/>
  <c r="E56" i="60"/>
  <c r="E57" i="60"/>
  <c r="E58" i="60"/>
  <c r="E59" i="60"/>
  <c r="E60" i="60"/>
  <c r="E61" i="60"/>
  <c r="E62" i="60"/>
  <c r="E63" i="60"/>
  <c r="E64" i="60"/>
  <c r="E65" i="60"/>
  <c r="E40" i="61"/>
  <c r="E41" i="61"/>
  <c r="E42" i="61"/>
  <c r="E43" i="61"/>
  <c r="E44" i="61"/>
  <c r="E45" i="61"/>
  <c r="E46" i="61"/>
  <c r="E47" i="61"/>
  <c r="E48" i="61"/>
  <c r="E49" i="61"/>
  <c r="E50" i="61"/>
  <c r="E51" i="61"/>
  <c r="E52" i="61"/>
  <c r="E53" i="61"/>
  <c r="E54" i="61"/>
  <c r="E55" i="61"/>
  <c r="E56" i="61"/>
  <c r="E57" i="61"/>
  <c r="E58" i="61"/>
  <c r="E59" i="61"/>
  <c r="E60" i="61"/>
  <c r="E61" i="61"/>
  <c r="E62" i="61"/>
  <c r="E63" i="61"/>
  <c r="E64" i="61"/>
  <c r="E65" i="61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E63" i="53"/>
  <c r="E64" i="53"/>
  <c r="E65" i="53"/>
  <c r="E39" i="54"/>
  <c r="E39" i="55"/>
  <c r="E39" i="56"/>
  <c r="E39" i="57"/>
  <c r="E39" i="58"/>
  <c r="E39" i="59"/>
  <c r="E39" i="60"/>
  <c r="E39" i="61"/>
  <c r="E39" i="53"/>
  <c r="K35" i="54"/>
  <c r="K34" i="54"/>
  <c r="K33" i="54"/>
  <c r="K31" i="54"/>
  <c r="K30" i="54"/>
  <c r="K29" i="54"/>
  <c r="K28" i="54"/>
  <c r="L24" i="54"/>
  <c r="K24" i="54"/>
  <c r="L23" i="54"/>
  <c r="K23" i="54"/>
  <c r="L22" i="54"/>
  <c r="K22" i="54"/>
  <c r="L21" i="54"/>
  <c r="K21" i="54"/>
  <c r="L19" i="54"/>
  <c r="K19" i="54"/>
  <c r="L18" i="54"/>
  <c r="K18" i="54"/>
  <c r="L17" i="54"/>
  <c r="K17" i="54"/>
  <c r="L16" i="54"/>
  <c r="K16" i="54"/>
  <c r="L15" i="54"/>
  <c r="K15" i="54"/>
  <c r="L14" i="54"/>
  <c r="K14" i="54"/>
  <c r="L13" i="54"/>
  <c r="K13" i="54"/>
  <c r="L12" i="54"/>
  <c r="K12" i="54"/>
  <c r="K35" i="55"/>
  <c r="K34" i="55"/>
  <c r="K33" i="55"/>
  <c r="K31" i="55"/>
  <c r="K30" i="55"/>
  <c r="K29" i="55"/>
  <c r="K28" i="55"/>
  <c r="L24" i="55"/>
  <c r="K24" i="55"/>
  <c r="L23" i="55"/>
  <c r="K23" i="55"/>
  <c r="L22" i="55"/>
  <c r="K22" i="55"/>
  <c r="L21" i="55"/>
  <c r="K21" i="55"/>
  <c r="L19" i="55"/>
  <c r="K19" i="55"/>
  <c r="L18" i="55"/>
  <c r="K18" i="55"/>
  <c r="L17" i="55"/>
  <c r="K17" i="55"/>
  <c r="L16" i="55"/>
  <c r="K16" i="55"/>
  <c r="L15" i="55"/>
  <c r="K15" i="55"/>
  <c r="L14" i="55"/>
  <c r="K14" i="55"/>
  <c r="L13" i="55"/>
  <c r="K13" i="55"/>
  <c r="L12" i="55"/>
  <c r="K12" i="55"/>
  <c r="K35" i="56"/>
  <c r="K34" i="56"/>
  <c r="K33" i="56"/>
  <c r="K31" i="56"/>
  <c r="K30" i="56"/>
  <c r="K29" i="56"/>
  <c r="K28" i="56"/>
  <c r="L24" i="56"/>
  <c r="K24" i="56"/>
  <c r="L23" i="56"/>
  <c r="K23" i="56"/>
  <c r="L22" i="56"/>
  <c r="K22" i="56"/>
  <c r="L21" i="56"/>
  <c r="K21" i="56"/>
  <c r="L19" i="56"/>
  <c r="K19" i="56"/>
  <c r="L18" i="56"/>
  <c r="K18" i="56"/>
  <c r="L17" i="56"/>
  <c r="K17" i="56"/>
  <c r="L16" i="56"/>
  <c r="K16" i="56"/>
  <c r="L15" i="56"/>
  <c r="K15" i="56"/>
  <c r="L14" i="56"/>
  <c r="K14" i="56"/>
  <c r="L13" i="56"/>
  <c r="K13" i="56"/>
  <c r="L12" i="56"/>
  <c r="K12" i="56"/>
  <c r="K35" i="57"/>
  <c r="K34" i="57"/>
  <c r="K33" i="57"/>
  <c r="K31" i="57"/>
  <c r="K30" i="57"/>
  <c r="K29" i="57"/>
  <c r="K28" i="57"/>
  <c r="L24" i="57"/>
  <c r="K24" i="57"/>
  <c r="L23" i="57"/>
  <c r="K23" i="57"/>
  <c r="L22" i="57"/>
  <c r="K22" i="57"/>
  <c r="L21" i="57"/>
  <c r="K21" i="57"/>
  <c r="L19" i="57"/>
  <c r="K19" i="57"/>
  <c r="L18" i="57"/>
  <c r="K18" i="57"/>
  <c r="L17" i="57"/>
  <c r="K17" i="57"/>
  <c r="L16" i="57"/>
  <c r="K16" i="57"/>
  <c r="L15" i="57"/>
  <c r="K15" i="57"/>
  <c r="L14" i="57"/>
  <c r="K14" i="57"/>
  <c r="L13" i="57"/>
  <c r="K13" i="57"/>
  <c r="L12" i="57"/>
  <c r="K12" i="57"/>
  <c r="K35" i="58"/>
  <c r="K34" i="58"/>
  <c r="K33" i="58"/>
  <c r="K31" i="58"/>
  <c r="K30" i="58"/>
  <c r="K29" i="58"/>
  <c r="K28" i="58"/>
  <c r="L24" i="58"/>
  <c r="K24" i="58"/>
  <c r="L23" i="58"/>
  <c r="K23" i="58"/>
  <c r="L22" i="58"/>
  <c r="K22" i="58"/>
  <c r="L21" i="58"/>
  <c r="K21" i="58"/>
  <c r="L19" i="58"/>
  <c r="K19" i="58"/>
  <c r="L18" i="58"/>
  <c r="K18" i="58"/>
  <c r="L17" i="58"/>
  <c r="K17" i="58"/>
  <c r="L16" i="58"/>
  <c r="K16" i="58"/>
  <c r="L15" i="58"/>
  <c r="K15" i="58"/>
  <c r="L14" i="58"/>
  <c r="K14" i="58"/>
  <c r="L13" i="58"/>
  <c r="K13" i="58"/>
  <c r="L12" i="58"/>
  <c r="K12" i="58"/>
  <c r="K35" i="59"/>
  <c r="K34" i="59"/>
  <c r="K33" i="59"/>
  <c r="K31" i="59"/>
  <c r="K30" i="59"/>
  <c r="K29" i="59"/>
  <c r="K28" i="59"/>
  <c r="L24" i="59"/>
  <c r="K24" i="59"/>
  <c r="L23" i="59"/>
  <c r="K23" i="59"/>
  <c r="L22" i="59"/>
  <c r="K22" i="59"/>
  <c r="L21" i="59"/>
  <c r="K21" i="59"/>
  <c r="L19" i="59"/>
  <c r="K19" i="59"/>
  <c r="L18" i="59"/>
  <c r="K18" i="59"/>
  <c r="L17" i="59"/>
  <c r="K17" i="59"/>
  <c r="L16" i="59"/>
  <c r="K16" i="59"/>
  <c r="L15" i="59"/>
  <c r="K15" i="59"/>
  <c r="L14" i="59"/>
  <c r="K14" i="59"/>
  <c r="L13" i="59"/>
  <c r="K13" i="59"/>
  <c r="L12" i="59"/>
  <c r="K12" i="59"/>
  <c r="K35" i="60"/>
  <c r="K34" i="60"/>
  <c r="K33" i="60"/>
  <c r="K31" i="60"/>
  <c r="K30" i="60"/>
  <c r="K29" i="60"/>
  <c r="K28" i="60"/>
  <c r="L24" i="60"/>
  <c r="K24" i="60"/>
  <c r="L23" i="60"/>
  <c r="K23" i="60"/>
  <c r="L22" i="60"/>
  <c r="K22" i="60"/>
  <c r="L21" i="60"/>
  <c r="K21" i="60"/>
  <c r="L19" i="60"/>
  <c r="K19" i="60"/>
  <c r="L18" i="60"/>
  <c r="K18" i="60"/>
  <c r="L17" i="60"/>
  <c r="K17" i="60"/>
  <c r="L16" i="60"/>
  <c r="K16" i="60"/>
  <c r="L15" i="60"/>
  <c r="K15" i="60"/>
  <c r="L14" i="60"/>
  <c r="K14" i="60"/>
  <c r="L13" i="60"/>
  <c r="K13" i="60"/>
  <c r="L12" i="60"/>
  <c r="K12" i="60"/>
  <c r="K35" i="61"/>
  <c r="K34" i="61"/>
  <c r="K33" i="61"/>
  <c r="K31" i="61"/>
  <c r="K30" i="61"/>
  <c r="K29" i="61"/>
  <c r="K28" i="61"/>
  <c r="L24" i="61"/>
  <c r="K24" i="61"/>
  <c r="L23" i="61"/>
  <c r="K23" i="61"/>
  <c r="L22" i="61"/>
  <c r="K22" i="61"/>
  <c r="L21" i="61"/>
  <c r="K21" i="61"/>
  <c r="L19" i="61"/>
  <c r="K19" i="61"/>
  <c r="L18" i="61"/>
  <c r="K18" i="61"/>
  <c r="L17" i="61"/>
  <c r="K17" i="61"/>
  <c r="L16" i="61"/>
  <c r="K16" i="61"/>
  <c r="L15" i="61"/>
  <c r="K15" i="61"/>
  <c r="L14" i="61"/>
  <c r="K14" i="61"/>
  <c r="L13" i="61"/>
  <c r="K13" i="61"/>
  <c r="L12" i="61"/>
  <c r="K12" i="61"/>
  <c r="K35" i="53"/>
  <c r="K34" i="53"/>
  <c r="K33" i="53"/>
  <c r="K31" i="53"/>
  <c r="K30" i="53"/>
  <c r="K29" i="53"/>
  <c r="K28" i="53"/>
  <c r="L24" i="53"/>
  <c r="K24" i="53"/>
  <c r="L23" i="53"/>
  <c r="K23" i="53"/>
  <c r="L22" i="53"/>
  <c r="K22" i="53"/>
  <c r="L21" i="53"/>
  <c r="K21" i="53"/>
  <c r="L19" i="53"/>
  <c r="K19" i="53"/>
  <c r="L18" i="53"/>
  <c r="K18" i="53"/>
  <c r="L17" i="53"/>
  <c r="K17" i="53"/>
  <c r="L16" i="53"/>
  <c r="K16" i="53"/>
  <c r="L15" i="53"/>
  <c r="K15" i="53"/>
  <c r="L14" i="53"/>
  <c r="K14" i="53"/>
  <c r="L13" i="53"/>
  <c r="K13" i="53"/>
  <c r="L12" i="53"/>
  <c r="K12" i="53"/>
  <c r="C15" i="54"/>
  <c r="C14" i="54"/>
  <c r="C13" i="54"/>
  <c r="C12" i="54"/>
  <c r="C15" i="55"/>
  <c r="C14" i="55"/>
  <c r="C13" i="55"/>
  <c r="C12" i="55"/>
  <c r="C15" i="56"/>
  <c r="C14" i="56"/>
  <c r="C13" i="56"/>
  <c r="C12" i="56"/>
  <c r="C15" i="57"/>
  <c r="C14" i="57"/>
  <c r="C13" i="57"/>
  <c r="C12" i="57"/>
  <c r="C15" i="58"/>
  <c r="C14" i="58"/>
  <c r="C13" i="58"/>
  <c r="C12" i="58"/>
  <c r="C15" i="59"/>
  <c r="C14" i="59"/>
  <c r="C13" i="59"/>
  <c r="C12" i="59"/>
  <c r="C15" i="60"/>
  <c r="C14" i="60"/>
  <c r="C13" i="60"/>
  <c r="C12" i="60"/>
  <c r="C15" i="61"/>
  <c r="C14" i="61"/>
  <c r="C13" i="61"/>
  <c r="C12" i="61"/>
  <c r="C15" i="53"/>
  <c r="C14" i="53"/>
  <c r="C13" i="53"/>
  <c r="C12" i="53"/>
  <c r="K35" i="30" l="1"/>
  <c r="K34" i="30" l="1"/>
  <c r="K33" i="30"/>
  <c r="K31" i="30"/>
  <c r="K30" i="30"/>
  <c r="K29" i="30"/>
  <c r="K28" i="30"/>
  <c r="K39" i="30" l="1"/>
  <c r="K19" i="30"/>
  <c r="M65" i="30"/>
  <c r="M64" i="30"/>
  <c r="M63" i="30"/>
  <c r="M62" i="30"/>
  <c r="M61" i="30"/>
  <c r="M60" i="30"/>
  <c r="M59" i="30"/>
  <c r="M58" i="30"/>
  <c r="M57" i="30"/>
  <c r="M56" i="30"/>
  <c r="M55" i="30"/>
  <c r="M54" i="30"/>
  <c r="M53" i="30"/>
  <c r="M52" i="30"/>
  <c r="M51" i="30"/>
  <c r="M50" i="30"/>
  <c r="M49" i="30"/>
  <c r="M48" i="30"/>
  <c r="M47" i="30"/>
  <c r="M46" i="30"/>
  <c r="M45" i="30"/>
  <c r="M44" i="30"/>
  <c r="M43" i="30"/>
  <c r="M42" i="30"/>
  <c r="L22" i="30"/>
  <c r="L23" i="30"/>
  <c r="L24" i="30"/>
  <c r="K24" i="30"/>
  <c r="K23" i="30"/>
  <c r="K22" i="30"/>
  <c r="K21" i="30"/>
  <c r="L17" i="30"/>
  <c r="L18" i="30"/>
  <c r="L19" i="30"/>
  <c r="K18" i="30"/>
  <c r="K17" i="30"/>
  <c r="K16" i="30"/>
  <c r="K13" i="30"/>
  <c r="K12" i="30"/>
  <c r="C15" i="30" l="1"/>
  <c r="K15" i="30"/>
  <c r="L15" i="30"/>
  <c r="Q2" i="35" l="1"/>
  <c r="C120" i="61"/>
  <c r="C119" i="61"/>
  <c r="C118" i="61"/>
  <c r="C117" i="61"/>
  <c r="C116" i="61"/>
  <c r="C115" i="61"/>
  <c r="C114" i="61"/>
  <c r="C113" i="61"/>
  <c r="C112" i="61"/>
  <c r="C111" i="61"/>
  <c r="C110" i="61"/>
  <c r="C109" i="61"/>
  <c r="C108" i="61"/>
  <c r="C107" i="61"/>
  <c r="C106" i="61"/>
  <c r="C105" i="61"/>
  <c r="C104" i="61"/>
  <c r="C103" i="61"/>
  <c r="C102" i="61"/>
  <c r="C101" i="61"/>
  <c r="C120" i="60"/>
  <c r="C119" i="60"/>
  <c r="C118" i="60"/>
  <c r="C117" i="60"/>
  <c r="C116" i="60"/>
  <c r="C115" i="60"/>
  <c r="C114" i="60"/>
  <c r="C113" i="60"/>
  <c r="C112" i="60"/>
  <c r="C111" i="60"/>
  <c r="C110" i="60"/>
  <c r="C109" i="60"/>
  <c r="C108" i="60"/>
  <c r="C107" i="60"/>
  <c r="C106" i="60"/>
  <c r="C105" i="60"/>
  <c r="C104" i="60"/>
  <c r="C103" i="60"/>
  <c r="C102" i="60"/>
  <c r="C101" i="60"/>
  <c r="C120" i="59"/>
  <c r="C119" i="59"/>
  <c r="C118" i="59"/>
  <c r="C117" i="59"/>
  <c r="C116" i="59"/>
  <c r="C115" i="59"/>
  <c r="C114" i="59"/>
  <c r="C113" i="59"/>
  <c r="C112" i="59"/>
  <c r="C111" i="59"/>
  <c r="C110" i="59"/>
  <c r="C109" i="59"/>
  <c r="C108" i="59"/>
  <c r="C107" i="59"/>
  <c r="C106" i="59"/>
  <c r="C105" i="59"/>
  <c r="C104" i="59"/>
  <c r="C103" i="59"/>
  <c r="C102" i="59"/>
  <c r="C101" i="59"/>
  <c r="C120" i="58"/>
  <c r="C119" i="58"/>
  <c r="C118" i="58"/>
  <c r="C117" i="58"/>
  <c r="C116" i="58"/>
  <c r="C115" i="58"/>
  <c r="C114" i="58"/>
  <c r="C113" i="58"/>
  <c r="C112" i="58"/>
  <c r="C111" i="58"/>
  <c r="C110" i="58"/>
  <c r="C109" i="58"/>
  <c r="C108" i="58"/>
  <c r="C107" i="58"/>
  <c r="C106" i="58"/>
  <c r="C105" i="58"/>
  <c r="C104" i="58"/>
  <c r="C103" i="58"/>
  <c r="C102" i="58"/>
  <c r="C101" i="58"/>
  <c r="C120" i="57"/>
  <c r="C119" i="57"/>
  <c r="C118" i="57"/>
  <c r="C117" i="57"/>
  <c r="C116" i="57"/>
  <c r="C115" i="57"/>
  <c r="C114" i="57"/>
  <c r="C113" i="57"/>
  <c r="C112" i="57"/>
  <c r="C111" i="57"/>
  <c r="C110" i="57"/>
  <c r="C109" i="57"/>
  <c r="C108" i="57"/>
  <c r="C107" i="57"/>
  <c r="C106" i="57"/>
  <c r="C105" i="57"/>
  <c r="C104" i="57"/>
  <c r="C103" i="57"/>
  <c r="C102" i="57"/>
  <c r="C101" i="57"/>
  <c r="C120" i="56"/>
  <c r="C119" i="56"/>
  <c r="C118" i="56"/>
  <c r="C117" i="56"/>
  <c r="C116" i="56"/>
  <c r="C115" i="56"/>
  <c r="C114" i="56"/>
  <c r="C113" i="56"/>
  <c r="C112" i="56"/>
  <c r="C111" i="56"/>
  <c r="C110" i="56"/>
  <c r="C109" i="56"/>
  <c r="C108" i="56"/>
  <c r="C107" i="56"/>
  <c r="C106" i="56"/>
  <c r="C105" i="56"/>
  <c r="C104" i="56"/>
  <c r="C103" i="56"/>
  <c r="C102" i="56"/>
  <c r="C101" i="56"/>
  <c r="C120" i="55"/>
  <c r="C119" i="55"/>
  <c r="C118" i="55"/>
  <c r="C117" i="55"/>
  <c r="C116" i="55"/>
  <c r="C115" i="55"/>
  <c r="C114" i="55"/>
  <c r="C113" i="55"/>
  <c r="C112" i="55"/>
  <c r="C111" i="55"/>
  <c r="C110" i="55"/>
  <c r="C109" i="55"/>
  <c r="C108" i="55"/>
  <c r="C107" i="55"/>
  <c r="C106" i="55"/>
  <c r="C105" i="55"/>
  <c r="C104" i="55"/>
  <c r="C103" i="55"/>
  <c r="C102" i="55"/>
  <c r="C101" i="55"/>
  <c r="C120" i="54"/>
  <c r="C119" i="54"/>
  <c r="C118" i="54"/>
  <c r="C117" i="54"/>
  <c r="C116" i="54"/>
  <c r="C115" i="54"/>
  <c r="C114" i="54"/>
  <c r="C113" i="54"/>
  <c r="C112" i="54"/>
  <c r="C111" i="54"/>
  <c r="C110" i="54"/>
  <c r="C109" i="54"/>
  <c r="C108" i="54"/>
  <c r="C107" i="54"/>
  <c r="C106" i="54"/>
  <c r="C105" i="54"/>
  <c r="C104" i="54"/>
  <c r="C103" i="54"/>
  <c r="C102" i="54"/>
  <c r="C101" i="54"/>
  <c r="C102" i="53"/>
  <c r="C103" i="53"/>
  <c r="C104" i="53"/>
  <c r="C105" i="53"/>
  <c r="C106" i="53"/>
  <c r="C107" i="53"/>
  <c r="C108" i="53"/>
  <c r="C109" i="53"/>
  <c r="C110" i="53"/>
  <c r="C111" i="53"/>
  <c r="C112" i="53"/>
  <c r="C113" i="53"/>
  <c r="C114" i="53"/>
  <c r="C115" i="53"/>
  <c r="C116" i="53"/>
  <c r="C117" i="53"/>
  <c r="C118" i="53"/>
  <c r="C119" i="53"/>
  <c r="C120" i="53"/>
  <c r="C101" i="53"/>
  <c r="Q111" i="53"/>
  <c r="N26" i="35" l="1"/>
  <c r="M26" i="35"/>
  <c r="L26" i="35"/>
  <c r="K26" i="35"/>
  <c r="J26" i="35"/>
  <c r="I26" i="35"/>
  <c r="H26" i="35"/>
  <c r="G26" i="35"/>
  <c r="F26" i="35"/>
  <c r="E26" i="35"/>
  <c r="N34" i="35"/>
  <c r="M34" i="35"/>
  <c r="L34" i="35"/>
  <c r="K34" i="35"/>
  <c r="J34" i="35"/>
  <c r="I34" i="35"/>
  <c r="H34" i="35"/>
  <c r="G34" i="35"/>
  <c r="N33" i="35"/>
  <c r="M33" i="35"/>
  <c r="L33" i="35"/>
  <c r="K33" i="35"/>
  <c r="J33" i="35"/>
  <c r="I33" i="35"/>
  <c r="H33" i="35"/>
  <c r="G33" i="35"/>
  <c r="F33" i="35"/>
  <c r="E33" i="35"/>
  <c r="N32" i="35"/>
  <c r="M32" i="35"/>
  <c r="L32" i="35"/>
  <c r="K32" i="35"/>
  <c r="J32" i="35"/>
  <c r="I32" i="35"/>
  <c r="H32" i="35"/>
  <c r="G32" i="35"/>
  <c r="F32" i="35"/>
  <c r="E32" i="35"/>
  <c r="N31" i="35"/>
  <c r="M31" i="35"/>
  <c r="L31" i="35"/>
  <c r="K31" i="35"/>
  <c r="J31" i="35"/>
  <c r="I31" i="35"/>
  <c r="H31" i="35"/>
  <c r="G31" i="35"/>
  <c r="F31" i="35"/>
  <c r="E31" i="35"/>
  <c r="N30" i="35"/>
  <c r="M30" i="35"/>
  <c r="L30" i="35"/>
  <c r="K30" i="35"/>
  <c r="J30" i="35"/>
  <c r="I30" i="35"/>
  <c r="H30" i="35"/>
  <c r="G30" i="35"/>
  <c r="F30" i="35"/>
  <c r="E30" i="35"/>
  <c r="N29" i="35"/>
  <c r="M29" i="35"/>
  <c r="L29" i="35"/>
  <c r="K29" i="35"/>
  <c r="J29" i="35"/>
  <c r="I29" i="35"/>
  <c r="H29" i="35"/>
  <c r="G29" i="35"/>
  <c r="F29" i="35"/>
  <c r="E29" i="35"/>
  <c r="O31" i="35" l="1"/>
  <c r="O29" i="35"/>
  <c r="F28" i="35"/>
  <c r="O70" i="54"/>
  <c r="G28" i="35" s="1"/>
  <c r="O70" i="55"/>
  <c r="H28" i="35" s="1"/>
  <c r="O70" i="56"/>
  <c r="I28" i="35" s="1"/>
  <c r="O70" i="57"/>
  <c r="J28" i="35" s="1"/>
  <c r="O70" i="58"/>
  <c r="K28" i="35" s="1"/>
  <c r="O70" i="59"/>
  <c r="L28" i="35" s="1"/>
  <c r="O70" i="60"/>
  <c r="M28" i="35" s="1"/>
  <c r="O70" i="61"/>
  <c r="N28" i="35" s="1"/>
  <c r="O69" i="58" l="1"/>
  <c r="O69" i="61"/>
  <c r="O69" i="60"/>
  <c r="O69" i="59"/>
  <c r="O69" i="53"/>
  <c r="O69" i="56"/>
  <c r="O69" i="55"/>
  <c r="O69" i="30"/>
  <c r="E28" i="35"/>
  <c r="O69" i="54"/>
  <c r="O69" i="57"/>
  <c r="G39" i="53"/>
  <c r="K41" i="30"/>
  <c r="K42" i="30"/>
  <c r="K140" i="61"/>
  <c r="K139" i="61"/>
  <c r="K140" i="60"/>
  <c r="K139" i="60"/>
  <c r="K139" i="59"/>
  <c r="K138" i="59"/>
  <c r="K140" i="58"/>
  <c r="K139" i="58"/>
  <c r="K140" i="57"/>
  <c r="K139" i="57"/>
  <c r="K140" i="56"/>
  <c r="K139" i="56"/>
  <c r="K140" i="55"/>
  <c r="K139" i="55"/>
  <c r="K140" i="54"/>
  <c r="K139" i="54"/>
  <c r="K140" i="53"/>
  <c r="K139" i="53"/>
  <c r="K141" i="30"/>
  <c r="K140" i="30"/>
  <c r="K139" i="30"/>
  <c r="K138" i="61"/>
  <c r="K137" i="61"/>
  <c r="K138" i="60"/>
  <c r="K137" i="60"/>
  <c r="K140" i="59"/>
  <c r="K137" i="59"/>
  <c r="K137" i="58"/>
  <c r="K135" i="58"/>
  <c r="K138" i="57"/>
  <c r="K137" i="57"/>
  <c r="K137" i="56"/>
  <c r="K136" i="56"/>
  <c r="K137" i="55"/>
  <c r="K136" i="55"/>
  <c r="K137" i="54"/>
  <c r="K136" i="54"/>
  <c r="K137" i="53"/>
  <c r="K136" i="53"/>
  <c r="K138" i="30"/>
  <c r="K137" i="30"/>
  <c r="O33" i="35"/>
  <c r="N70" i="35"/>
  <c r="M70" i="35"/>
  <c r="L70" i="35"/>
  <c r="K70" i="35"/>
  <c r="J70" i="35"/>
  <c r="J155" i="61"/>
  <c r="J155" i="60"/>
  <c r="J155" i="59"/>
  <c r="J155" i="58"/>
  <c r="J155" i="56"/>
  <c r="J155" i="55"/>
  <c r="J155" i="54"/>
  <c r="J155" i="53"/>
  <c r="J155" i="30"/>
  <c r="K142" i="61"/>
  <c r="K141" i="61"/>
  <c r="K136" i="61"/>
  <c r="K135" i="61"/>
  <c r="K134" i="61"/>
  <c r="K133" i="61"/>
  <c r="K132" i="61"/>
  <c r="K131" i="61"/>
  <c r="K130" i="61"/>
  <c r="K129" i="61"/>
  <c r="K128" i="61"/>
  <c r="K127" i="61"/>
  <c r="K126" i="61"/>
  <c r="K125" i="61"/>
  <c r="K124" i="61"/>
  <c r="K142" i="60"/>
  <c r="K141" i="60"/>
  <c r="K136" i="60"/>
  <c r="K135" i="60"/>
  <c r="K134" i="60"/>
  <c r="K133" i="60"/>
  <c r="K132" i="60"/>
  <c r="K131" i="60"/>
  <c r="K130" i="60"/>
  <c r="K129" i="60"/>
  <c r="K128" i="60"/>
  <c r="K127" i="60"/>
  <c r="K126" i="60"/>
  <c r="K125" i="60"/>
  <c r="K124" i="60"/>
  <c r="K142" i="59"/>
  <c r="K141" i="59"/>
  <c r="K136" i="59"/>
  <c r="K135" i="59"/>
  <c r="K134" i="59"/>
  <c r="K133" i="59"/>
  <c r="K132" i="59"/>
  <c r="K131" i="59"/>
  <c r="K130" i="59"/>
  <c r="K129" i="59"/>
  <c r="K128" i="59"/>
  <c r="K127" i="59"/>
  <c r="K126" i="59"/>
  <c r="K125" i="59"/>
  <c r="K124" i="59"/>
  <c r="K142" i="58"/>
  <c r="K141" i="58"/>
  <c r="K138" i="58"/>
  <c r="K136" i="58"/>
  <c r="K134" i="58"/>
  <c r="K133" i="58"/>
  <c r="K132" i="58"/>
  <c r="K131" i="58"/>
  <c r="K130" i="58"/>
  <c r="K129" i="58"/>
  <c r="K128" i="58"/>
  <c r="K127" i="58"/>
  <c r="K126" i="58"/>
  <c r="K125" i="58"/>
  <c r="K124" i="58"/>
  <c r="K142" i="56"/>
  <c r="K141" i="56"/>
  <c r="K138" i="56"/>
  <c r="K135" i="56"/>
  <c r="K134" i="56"/>
  <c r="K133" i="56"/>
  <c r="K132" i="56"/>
  <c r="K131" i="56"/>
  <c r="K130" i="56"/>
  <c r="K129" i="56"/>
  <c r="K128" i="56"/>
  <c r="K127" i="56"/>
  <c r="K126" i="56"/>
  <c r="K125" i="56"/>
  <c r="K124" i="56"/>
  <c r="K142" i="55"/>
  <c r="K141" i="55"/>
  <c r="K138" i="55"/>
  <c r="K135" i="55"/>
  <c r="K134" i="55"/>
  <c r="K133" i="55"/>
  <c r="K132" i="55"/>
  <c r="K131" i="55"/>
  <c r="K130" i="55"/>
  <c r="K129" i="55"/>
  <c r="K128" i="55"/>
  <c r="K127" i="55"/>
  <c r="K126" i="55"/>
  <c r="K125" i="55"/>
  <c r="K124" i="55"/>
  <c r="K142" i="54"/>
  <c r="K141" i="54"/>
  <c r="K138" i="54"/>
  <c r="K135" i="54"/>
  <c r="K134" i="54"/>
  <c r="K133" i="54"/>
  <c r="K132" i="54"/>
  <c r="K131" i="54"/>
  <c r="K130" i="54"/>
  <c r="K129" i="54"/>
  <c r="K128" i="54"/>
  <c r="K127" i="54"/>
  <c r="K126" i="54"/>
  <c r="K125" i="54"/>
  <c r="K124" i="54"/>
  <c r="K142" i="53"/>
  <c r="K141" i="53"/>
  <c r="K138" i="53"/>
  <c r="K135" i="53"/>
  <c r="K134" i="53"/>
  <c r="K133" i="53"/>
  <c r="K132" i="53"/>
  <c r="K131" i="53"/>
  <c r="K130" i="53"/>
  <c r="K129" i="53"/>
  <c r="K128" i="53"/>
  <c r="K127" i="53"/>
  <c r="K126" i="53"/>
  <c r="K125" i="53"/>
  <c r="K124" i="53"/>
  <c r="K142" i="30"/>
  <c r="K136" i="30"/>
  <c r="K135" i="30"/>
  <c r="K134" i="30"/>
  <c r="K133" i="30"/>
  <c r="K132" i="30"/>
  <c r="K131" i="30"/>
  <c r="K130" i="30"/>
  <c r="K129" i="30"/>
  <c r="K128" i="30"/>
  <c r="K127" i="30"/>
  <c r="K126" i="30"/>
  <c r="K125" i="30"/>
  <c r="K124" i="30"/>
  <c r="G123" i="30"/>
  <c r="M147" i="30" s="1"/>
  <c r="K125" i="57"/>
  <c r="K126" i="57"/>
  <c r="K127" i="57"/>
  <c r="K128" i="57"/>
  <c r="K129" i="57"/>
  <c r="K130" i="57"/>
  <c r="K131" i="57"/>
  <c r="K132" i="57"/>
  <c r="K133" i="57"/>
  <c r="K134" i="57"/>
  <c r="K135" i="57"/>
  <c r="K136" i="57"/>
  <c r="K141" i="57"/>
  <c r="K142" i="57"/>
  <c r="K124" i="57"/>
  <c r="J155" i="57"/>
  <c r="G40" i="53"/>
  <c r="M40" i="53" s="1"/>
  <c r="N40" i="53" s="1"/>
  <c r="G41" i="53"/>
  <c r="M41" i="53" s="1"/>
  <c r="N41" i="53" s="1"/>
  <c r="G42" i="53"/>
  <c r="M42" i="53" s="1"/>
  <c r="N42" i="53" s="1"/>
  <c r="D40" i="53"/>
  <c r="D40" i="54" s="1"/>
  <c r="D40" i="55" s="1"/>
  <c r="D40" i="56" s="1"/>
  <c r="D40" i="57" s="1"/>
  <c r="D40" i="58" s="1"/>
  <c r="D40" i="59" s="1"/>
  <c r="D40" i="60" s="1"/>
  <c r="D40" i="61" s="1"/>
  <c r="D41" i="53"/>
  <c r="D41" i="54" s="1"/>
  <c r="D41" i="55" s="1"/>
  <c r="D41" i="56" s="1"/>
  <c r="D41" i="57" s="1"/>
  <c r="D41" i="58" s="1"/>
  <c r="D41" i="59" s="1"/>
  <c r="D41" i="60" s="1"/>
  <c r="D41" i="61" s="1"/>
  <c r="D42" i="53"/>
  <c r="D42" i="54" s="1"/>
  <c r="D42" i="55" s="1"/>
  <c r="D42" i="56" s="1"/>
  <c r="D42" i="57" s="1"/>
  <c r="D42" i="58" s="1"/>
  <c r="D42" i="59" s="1"/>
  <c r="D42" i="60" s="1"/>
  <c r="D42" i="61" s="1"/>
  <c r="B40" i="53"/>
  <c r="B40" i="54" s="1"/>
  <c r="B40" i="55" s="1"/>
  <c r="B40" i="56" s="1"/>
  <c r="B40" i="57" s="1"/>
  <c r="B40" i="58" s="1"/>
  <c r="B40" i="59" s="1"/>
  <c r="B40" i="60" s="1"/>
  <c r="B40" i="61" s="1"/>
  <c r="B41" i="53"/>
  <c r="B41" i="54" s="1"/>
  <c r="B41" i="55" s="1"/>
  <c r="B41" i="56" s="1"/>
  <c r="B41" i="57" s="1"/>
  <c r="B41" i="58" s="1"/>
  <c r="B41" i="59" s="1"/>
  <c r="B41" i="60" s="1"/>
  <c r="B41" i="61" s="1"/>
  <c r="B42" i="53"/>
  <c r="B42" i="54" s="1"/>
  <c r="B42" i="55" s="1"/>
  <c r="B42" i="56" s="1"/>
  <c r="B42" i="57" s="1"/>
  <c r="B42" i="58" s="1"/>
  <c r="B42" i="59" s="1"/>
  <c r="B42" i="60" s="1"/>
  <c r="B42" i="61" s="1"/>
  <c r="B43" i="53"/>
  <c r="B43" i="54" s="1"/>
  <c r="B43" i="55" s="1"/>
  <c r="B43" i="56" s="1"/>
  <c r="B43" i="57" s="1"/>
  <c r="B43" i="58" s="1"/>
  <c r="B43" i="59" s="1"/>
  <c r="B43" i="60" s="1"/>
  <c r="B43" i="61" s="1"/>
  <c r="L7" i="30"/>
  <c r="E13" i="35" s="1"/>
  <c r="B37" i="62"/>
  <c r="D37" i="62" s="1"/>
  <c r="F37" i="62" s="1"/>
  <c r="H34" i="62"/>
  <c r="D31" i="62"/>
  <c r="D32" i="62"/>
  <c r="F32" i="62"/>
  <c r="D33" i="62"/>
  <c r="F33" i="62" s="1"/>
  <c r="B34" i="62"/>
  <c r="H121" i="30"/>
  <c r="O145" i="30" s="1"/>
  <c r="E74" i="35" s="1"/>
  <c r="H121" i="53"/>
  <c r="O145" i="53" s="1"/>
  <c r="F74" i="35" s="1"/>
  <c r="H121" i="54"/>
  <c r="O145" i="54" s="1"/>
  <c r="G74" i="35" s="1"/>
  <c r="H121" i="55"/>
  <c r="O145" i="55" s="1"/>
  <c r="H74" i="35" s="1"/>
  <c r="H121" i="56"/>
  <c r="O145" i="56" s="1"/>
  <c r="I74" i="35" s="1"/>
  <c r="H121" i="57"/>
  <c r="O145" i="57" s="1"/>
  <c r="J74" i="35" s="1"/>
  <c r="H121" i="58"/>
  <c r="O145" i="58" s="1"/>
  <c r="K74" i="35" s="1"/>
  <c r="H121" i="59"/>
  <c r="O145" i="59" s="1"/>
  <c r="L74" i="35" s="1"/>
  <c r="H121" i="60"/>
  <c r="O145" i="60" s="1"/>
  <c r="M74" i="35" s="1"/>
  <c r="H121" i="61"/>
  <c r="O145" i="61" s="1"/>
  <c r="N74" i="35" s="1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59" i="30"/>
  <c r="L60" i="30"/>
  <c r="L61" i="30"/>
  <c r="L62" i="30"/>
  <c r="L63" i="30"/>
  <c r="L64" i="30"/>
  <c r="L65" i="30"/>
  <c r="G84" i="46"/>
  <c r="G78" i="46"/>
  <c r="G72" i="46"/>
  <c r="G66" i="46"/>
  <c r="G60" i="46"/>
  <c r="G54" i="46"/>
  <c r="G48" i="46"/>
  <c r="A90" i="46"/>
  <c r="A84" i="46"/>
  <c r="A78" i="46"/>
  <c r="A72" i="46"/>
  <c r="A66" i="46"/>
  <c r="A60" i="46"/>
  <c r="A54" i="46"/>
  <c r="A48" i="46"/>
  <c r="C62" i="35"/>
  <c r="C63" i="35"/>
  <c r="C64" i="35"/>
  <c r="C65" i="35"/>
  <c r="C51" i="35"/>
  <c r="C52" i="35"/>
  <c r="C53" i="35"/>
  <c r="C54" i="35"/>
  <c r="C55" i="35"/>
  <c r="C56" i="35"/>
  <c r="C57" i="35"/>
  <c r="C58" i="35"/>
  <c r="C59" i="35"/>
  <c r="C60" i="35"/>
  <c r="C61" i="35"/>
  <c r="J103" i="61"/>
  <c r="N91" i="35" s="1"/>
  <c r="N44" i="35"/>
  <c r="N43" i="35"/>
  <c r="N42" i="35"/>
  <c r="N41" i="35"/>
  <c r="N39" i="35"/>
  <c r="N37" i="35"/>
  <c r="N27" i="35"/>
  <c r="N22" i="35"/>
  <c r="N21" i="35"/>
  <c r="N19" i="35"/>
  <c r="N18" i="35"/>
  <c r="M44" i="35"/>
  <c r="M43" i="35"/>
  <c r="M42" i="35"/>
  <c r="M41" i="35"/>
  <c r="M39" i="35"/>
  <c r="M37" i="35"/>
  <c r="M27" i="35"/>
  <c r="M22" i="35"/>
  <c r="M21" i="35"/>
  <c r="M19" i="35"/>
  <c r="M18" i="35"/>
  <c r="L44" i="35"/>
  <c r="L43" i="35"/>
  <c r="L42" i="35"/>
  <c r="L41" i="35"/>
  <c r="L39" i="35"/>
  <c r="L37" i="35"/>
  <c r="L27" i="35"/>
  <c r="L22" i="35"/>
  <c r="L21" i="35"/>
  <c r="L19" i="35"/>
  <c r="L18" i="35"/>
  <c r="K44" i="35"/>
  <c r="K43" i="35"/>
  <c r="K42" i="35"/>
  <c r="K41" i="35"/>
  <c r="K39" i="35"/>
  <c r="K37" i="35"/>
  <c r="K27" i="35"/>
  <c r="K22" i="35"/>
  <c r="K21" i="35"/>
  <c r="K19" i="35"/>
  <c r="K18" i="35"/>
  <c r="J44" i="35"/>
  <c r="J43" i="35"/>
  <c r="J42" i="35"/>
  <c r="J41" i="35"/>
  <c r="J39" i="35"/>
  <c r="J37" i="35"/>
  <c r="J27" i="35"/>
  <c r="J22" i="35"/>
  <c r="J21" i="35"/>
  <c r="J19" i="35"/>
  <c r="J18" i="35"/>
  <c r="I70" i="35"/>
  <c r="I44" i="35"/>
  <c r="I43" i="35"/>
  <c r="I42" i="35"/>
  <c r="I41" i="35"/>
  <c r="I39" i="35"/>
  <c r="I37" i="35"/>
  <c r="I22" i="35"/>
  <c r="I21" i="35"/>
  <c r="I19" i="35"/>
  <c r="I18" i="35"/>
  <c r="H70" i="35"/>
  <c r="H44" i="35"/>
  <c r="H43" i="35"/>
  <c r="H42" i="35"/>
  <c r="H41" i="35"/>
  <c r="H39" i="35"/>
  <c r="H37" i="35"/>
  <c r="H27" i="35"/>
  <c r="H22" i="35"/>
  <c r="H21" i="35"/>
  <c r="H19" i="35"/>
  <c r="H18" i="35"/>
  <c r="G70" i="35"/>
  <c r="G44" i="35"/>
  <c r="G43" i="35"/>
  <c r="G42" i="35"/>
  <c r="G41" i="35"/>
  <c r="G39" i="35"/>
  <c r="G37" i="35"/>
  <c r="G27" i="35"/>
  <c r="G22" i="35"/>
  <c r="G21" i="35"/>
  <c r="G19" i="35"/>
  <c r="G18" i="35"/>
  <c r="F70" i="35"/>
  <c r="F44" i="35"/>
  <c r="F43" i="35"/>
  <c r="F42" i="35"/>
  <c r="F41" i="35"/>
  <c r="F39" i="35"/>
  <c r="F37" i="35"/>
  <c r="F27" i="35"/>
  <c r="F22" i="35"/>
  <c r="F21" i="35"/>
  <c r="F19" i="35"/>
  <c r="F18" i="35"/>
  <c r="F121" i="61"/>
  <c r="J120" i="61"/>
  <c r="N159" i="35" s="1"/>
  <c r="J119" i="61"/>
  <c r="N64" i="35" s="1"/>
  <c r="J118" i="61"/>
  <c r="N151" i="35" s="1"/>
  <c r="J117" i="61"/>
  <c r="N62" i="35" s="1"/>
  <c r="J116" i="61"/>
  <c r="N143" i="35" s="1"/>
  <c r="J115" i="61"/>
  <c r="J114" i="61"/>
  <c r="N59" i="35" s="1"/>
  <c r="J113" i="61"/>
  <c r="N58" i="35" s="1"/>
  <c r="J112" i="61"/>
  <c r="N127" i="35" s="1"/>
  <c r="J111" i="61"/>
  <c r="N56" i="35" s="1"/>
  <c r="J110" i="61"/>
  <c r="N55" i="35" s="1"/>
  <c r="J109" i="61"/>
  <c r="N115" i="35" s="1"/>
  <c r="J108" i="61"/>
  <c r="N53" i="35" s="1"/>
  <c r="J107" i="61"/>
  <c r="N52" i="35" s="1"/>
  <c r="J106" i="61"/>
  <c r="N51" i="35" s="1"/>
  <c r="J105" i="61"/>
  <c r="N99" i="35" s="1"/>
  <c r="J104" i="61"/>
  <c r="N95" i="35" s="1"/>
  <c r="J102" i="61"/>
  <c r="N87" i="35" s="1"/>
  <c r="J101" i="61"/>
  <c r="N83" i="35" s="1"/>
  <c r="O92" i="61"/>
  <c r="O87" i="61"/>
  <c r="O83" i="61"/>
  <c r="N23" i="35" s="1"/>
  <c r="O66" i="61"/>
  <c r="F121" i="60"/>
  <c r="J120" i="60"/>
  <c r="M159" i="35" s="1"/>
  <c r="J119" i="60"/>
  <c r="M155" i="35" s="1"/>
  <c r="J118" i="60"/>
  <c r="M151" i="35" s="1"/>
  <c r="J117" i="60"/>
  <c r="M62" i="35" s="1"/>
  <c r="J116" i="60"/>
  <c r="J115" i="60"/>
  <c r="M139" i="35" s="1"/>
  <c r="J114" i="60"/>
  <c r="J113" i="60"/>
  <c r="M58" i="35" s="1"/>
  <c r="J112" i="60"/>
  <c r="M127" i="35" s="1"/>
  <c r="J111" i="60"/>
  <c r="M123" i="35" s="1"/>
  <c r="J110" i="60"/>
  <c r="J109" i="60"/>
  <c r="M54" i="35" s="1"/>
  <c r="J108" i="60"/>
  <c r="M111" i="35" s="1"/>
  <c r="J107" i="60"/>
  <c r="M52" i="35" s="1"/>
  <c r="J106" i="60"/>
  <c r="M103" i="35" s="1"/>
  <c r="J105" i="60"/>
  <c r="M99" i="35" s="1"/>
  <c r="J104" i="60"/>
  <c r="M49" i="35" s="1"/>
  <c r="J103" i="60"/>
  <c r="M48" i="35" s="1"/>
  <c r="J102" i="60"/>
  <c r="M87" i="35" s="1"/>
  <c r="J101" i="60"/>
  <c r="M83" i="35" s="1"/>
  <c r="O92" i="60"/>
  <c r="O87" i="60"/>
  <c r="O83" i="60"/>
  <c r="M23" i="35" s="1"/>
  <c r="O66" i="60"/>
  <c r="F121" i="59"/>
  <c r="J120" i="59"/>
  <c r="L159" i="35" s="1"/>
  <c r="J119" i="59"/>
  <c r="L64" i="35" s="1"/>
  <c r="J118" i="59"/>
  <c r="L151" i="35" s="1"/>
  <c r="J117" i="59"/>
  <c r="L147" i="35" s="1"/>
  <c r="J116" i="59"/>
  <c r="L143" i="35" s="1"/>
  <c r="J115" i="59"/>
  <c r="L60" i="35" s="1"/>
  <c r="J114" i="59"/>
  <c r="L59" i="35" s="1"/>
  <c r="J113" i="59"/>
  <c r="L131" i="35" s="1"/>
  <c r="J112" i="59"/>
  <c r="L127" i="35" s="1"/>
  <c r="J111" i="59"/>
  <c r="L123" i="35" s="1"/>
  <c r="J110" i="59"/>
  <c r="L119" i="35" s="1"/>
  <c r="J109" i="59"/>
  <c r="L115" i="35" s="1"/>
  <c r="J108" i="59"/>
  <c r="L111" i="35" s="1"/>
  <c r="J107" i="59"/>
  <c r="L52" i="35" s="1"/>
  <c r="J106" i="59"/>
  <c r="L103" i="35" s="1"/>
  <c r="J105" i="59"/>
  <c r="L99" i="35" s="1"/>
  <c r="J104" i="59"/>
  <c r="L95" i="35" s="1"/>
  <c r="J103" i="59"/>
  <c r="L48" i="35" s="1"/>
  <c r="J102" i="59"/>
  <c r="L47" i="35" s="1"/>
  <c r="J101" i="59"/>
  <c r="L83" i="35" s="1"/>
  <c r="O92" i="59"/>
  <c r="O87" i="59"/>
  <c r="O83" i="59"/>
  <c r="L23" i="35" s="1"/>
  <c r="O66" i="59"/>
  <c r="F121" i="58"/>
  <c r="J120" i="58"/>
  <c r="K159" i="35" s="1"/>
  <c r="J119" i="58"/>
  <c r="K64" i="35" s="1"/>
  <c r="J118" i="58"/>
  <c r="K151" i="35" s="1"/>
  <c r="J117" i="58"/>
  <c r="K147" i="35" s="1"/>
  <c r="J116" i="58"/>
  <c r="K143" i="35" s="1"/>
  <c r="J115" i="58"/>
  <c r="K60" i="35" s="1"/>
  <c r="J114" i="58"/>
  <c r="K59" i="35" s="1"/>
  <c r="J113" i="58"/>
  <c r="K131" i="35" s="1"/>
  <c r="J112" i="58"/>
  <c r="K127" i="35" s="1"/>
  <c r="J111" i="58"/>
  <c r="K56" i="35" s="1"/>
  <c r="J110" i="58"/>
  <c r="K55" i="35" s="1"/>
  <c r="J109" i="58"/>
  <c r="K115" i="35" s="1"/>
  <c r="J108" i="58"/>
  <c r="K111" i="35" s="1"/>
  <c r="J107" i="58"/>
  <c r="K52" i="35" s="1"/>
  <c r="J106" i="58"/>
  <c r="K103" i="35" s="1"/>
  <c r="J105" i="58"/>
  <c r="K99" i="35" s="1"/>
  <c r="J104" i="58"/>
  <c r="K95" i="35" s="1"/>
  <c r="J103" i="58"/>
  <c r="K91" i="35" s="1"/>
  <c r="J102" i="58"/>
  <c r="K87" i="35" s="1"/>
  <c r="J101" i="58"/>
  <c r="K83" i="35" s="1"/>
  <c r="O92" i="58"/>
  <c r="O87" i="58"/>
  <c r="O83" i="58"/>
  <c r="K23" i="35" s="1"/>
  <c r="O66" i="58"/>
  <c r="F121" i="57"/>
  <c r="J120" i="57"/>
  <c r="J65" i="35" s="1"/>
  <c r="J119" i="57"/>
  <c r="J64" i="35" s="1"/>
  <c r="J118" i="57"/>
  <c r="J63" i="35" s="1"/>
  <c r="J117" i="57"/>
  <c r="J62" i="35" s="1"/>
  <c r="J116" i="57"/>
  <c r="J143" i="35" s="1"/>
  <c r="J115" i="57"/>
  <c r="J60" i="35" s="1"/>
  <c r="J114" i="57"/>
  <c r="J135" i="35" s="1"/>
  <c r="J113" i="57"/>
  <c r="J131" i="35" s="1"/>
  <c r="J112" i="57"/>
  <c r="J57" i="35" s="1"/>
  <c r="J111" i="57"/>
  <c r="J56" i="35" s="1"/>
  <c r="J110" i="57"/>
  <c r="J55" i="35" s="1"/>
  <c r="J109" i="57"/>
  <c r="J115" i="35" s="1"/>
  <c r="J108" i="57"/>
  <c r="J111" i="35" s="1"/>
  <c r="J107" i="57"/>
  <c r="J52" i="35" s="1"/>
  <c r="J106" i="57"/>
  <c r="J103" i="35" s="1"/>
  <c r="J105" i="57"/>
  <c r="J99" i="35" s="1"/>
  <c r="J104" i="57"/>
  <c r="J95" i="35" s="1"/>
  <c r="J103" i="57"/>
  <c r="J102" i="57"/>
  <c r="J47" i="35" s="1"/>
  <c r="J101" i="57"/>
  <c r="J46" i="35" s="1"/>
  <c r="O92" i="57"/>
  <c r="O87" i="57"/>
  <c r="O83" i="57"/>
  <c r="J23" i="35" s="1"/>
  <c r="O66" i="57"/>
  <c r="F121" i="56"/>
  <c r="J120" i="56"/>
  <c r="I159" i="35" s="1"/>
  <c r="J119" i="56"/>
  <c r="I155" i="35" s="1"/>
  <c r="J118" i="56"/>
  <c r="I63" i="35" s="1"/>
  <c r="J117" i="56"/>
  <c r="I62" i="35" s="1"/>
  <c r="J116" i="56"/>
  <c r="I61" i="35" s="1"/>
  <c r="J115" i="56"/>
  <c r="I60" i="35" s="1"/>
  <c r="J114" i="56"/>
  <c r="I135" i="35" s="1"/>
  <c r="J113" i="56"/>
  <c r="I58" i="35" s="1"/>
  <c r="J112" i="56"/>
  <c r="I57" i="35" s="1"/>
  <c r="J111" i="56"/>
  <c r="I123" i="35" s="1"/>
  <c r="J110" i="56"/>
  <c r="I119" i="35" s="1"/>
  <c r="J109" i="56"/>
  <c r="I115" i="35" s="1"/>
  <c r="J108" i="56"/>
  <c r="I53" i="35" s="1"/>
  <c r="J107" i="56"/>
  <c r="I52" i="35" s="1"/>
  <c r="J106" i="56"/>
  <c r="I51" i="35" s="1"/>
  <c r="J105" i="56"/>
  <c r="I99" i="35" s="1"/>
  <c r="J104" i="56"/>
  <c r="I49" i="35" s="1"/>
  <c r="J103" i="56"/>
  <c r="I91" i="35" s="1"/>
  <c r="J102" i="56"/>
  <c r="I87" i="35" s="1"/>
  <c r="J101" i="56"/>
  <c r="I46" i="35" s="1"/>
  <c r="O92" i="56"/>
  <c r="O87" i="56"/>
  <c r="O83" i="56"/>
  <c r="I23" i="35" s="1"/>
  <c r="O66" i="56"/>
  <c r="F121" i="55"/>
  <c r="J120" i="55"/>
  <c r="H65" i="35" s="1"/>
  <c r="J119" i="55"/>
  <c r="H155" i="35" s="1"/>
  <c r="J118" i="55"/>
  <c r="H151" i="35" s="1"/>
  <c r="J117" i="55"/>
  <c r="H147" i="35" s="1"/>
  <c r="J116" i="55"/>
  <c r="H143" i="35" s="1"/>
  <c r="J115" i="55"/>
  <c r="H139" i="35" s="1"/>
  <c r="J114" i="55"/>
  <c r="H59" i="35" s="1"/>
  <c r="J113" i="55"/>
  <c r="H58" i="35" s="1"/>
  <c r="J112" i="55"/>
  <c r="H127" i="35" s="1"/>
  <c r="J111" i="55"/>
  <c r="H56" i="35" s="1"/>
  <c r="J110" i="55"/>
  <c r="H119" i="35" s="1"/>
  <c r="J109" i="55"/>
  <c r="H115" i="35" s="1"/>
  <c r="J108" i="55"/>
  <c r="H53" i="35" s="1"/>
  <c r="J107" i="55"/>
  <c r="H107" i="35" s="1"/>
  <c r="J106" i="55"/>
  <c r="J105" i="55"/>
  <c r="H50" i="35" s="1"/>
  <c r="J104" i="55"/>
  <c r="H49" i="35" s="1"/>
  <c r="J103" i="55"/>
  <c r="H48" i="35" s="1"/>
  <c r="J102" i="55"/>
  <c r="H47" i="35" s="1"/>
  <c r="J101" i="55"/>
  <c r="H83" i="35" s="1"/>
  <c r="O92" i="55"/>
  <c r="O87" i="55"/>
  <c r="O83" i="55"/>
  <c r="H23" i="35"/>
  <c r="O66" i="55"/>
  <c r="F121" i="54"/>
  <c r="J120" i="54"/>
  <c r="G159" i="35" s="1"/>
  <c r="J119" i="54"/>
  <c r="G64" i="35" s="1"/>
  <c r="J118" i="54"/>
  <c r="G63" i="35" s="1"/>
  <c r="J117" i="54"/>
  <c r="G147" i="35" s="1"/>
  <c r="J116" i="54"/>
  <c r="G61" i="35" s="1"/>
  <c r="J115" i="54"/>
  <c r="G139" i="35" s="1"/>
  <c r="J114" i="54"/>
  <c r="G135" i="35" s="1"/>
  <c r="J113" i="54"/>
  <c r="G131" i="35" s="1"/>
  <c r="J112" i="54"/>
  <c r="G127" i="35" s="1"/>
  <c r="J111" i="54"/>
  <c r="G123" i="35" s="1"/>
  <c r="J110" i="54"/>
  <c r="G55" i="35" s="1"/>
  <c r="J109" i="54"/>
  <c r="G115" i="35" s="1"/>
  <c r="J108" i="54"/>
  <c r="G53" i="35" s="1"/>
  <c r="J107" i="54"/>
  <c r="G107" i="35" s="1"/>
  <c r="J106" i="54"/>
  <c r="G103" i="35" s="1"/>
  <c r="J105" i="54"/>
  <c r="J104" i="54"/>
  <c r="G49" i="35" s="1"/>
  <c r="J103" i="54"/>
  <c r="G48" i="35" s="1"/>
  <c r="J102" i="54"/>
  <c r="G47" i="35" s="1"/>
  <c r="J101" i="54"/>
  <c r="G83" i="35" s="1"/>
  <c r="O92" i="54"/>
  <c r="O87" i="54"/>
  <c r="O83" i="54"/>
  <c r="G23" i="35" s="1"/>
  <c r="O66" i="54"/>
  <c r="D7" i="53"/>
  <c r="D7" i="54" s="1"/>
  <c r="D7" i="55" s="1"/>
  <c r="D7" i="56" s="1"/>
  <c r="D7" i="57" s="1"/>
  <c r="D7" i="58" s="1"/>
  <c r="D7" i="59" s="1"/>
  <c r="D7" i="60" s="1"/>
  <c r="D7" i="61" s="1"/>
  <c r="D5" i="53"/>
  <c r="D5" i="54" s="1"/>
  <c r="D5" i="55" s="1"/>
  <c r="D5" i="56" s="1"/>
  <c r="D5" i="57" s="1"/>
  <c r="D5" i="58" s="1"/>
  <c r="D5" i="59" s="1"/>
  <c r="D5" i="60" s="1"/>
  <c r="D5" i="61" s="1"/>
  <c r="D3" i="53"/>
  <c r="D3" i="54" s="1"/>
  <c r="D3" i="55" s="1"/>
  <c r="D3" i="56" s="1"/>
  <c r="D3" i="57" s="1"/>
  <c r="D3" i="58" s="1"/>
  <c r="D3" i="59" s="1"/>
  <c r="D3" i="60" s="1"/>
  <c r="D3" i="61" s="1"/>
  <c r="K44" i="53"/>
  <c r="K45" i="53"/>
  <c r="G46" i="53"/>
  <c r="M46" i="53" s="1"/>
  <c r="N46" i="53" s="1"/>
  <c r="K48" i="54"/>
  <c r="G49" i="53"/>
  <c r="K51" i="54"/>
  <c r="K52" i="53"/>
  <c r="K53" i="53"/>
  <c r="G55" i="53"/>
  <c r="M55" i="53" s="1"/>
  <c r="G56" i="53"/>
  <c r="K58" i="53"/>
  <c r="K59" i="53"/>
  <c r="K60" i="53"/>
  <c r="K61" i="53"/>
  <c r="K62" i="53"/>
  <c r="K63" i="54"/>
  <c r="K64" i="53"/>
  <c r="K39" i="53"/>
  <c r="D43" i="53"/>
  <c r="D43" i="54" s="1"/>
  <c r="D43" i="55" s="1"/>
  <c r="D43" i="56" s="1"/>
  <c r="D43" i="57" s="1"/>
  <c r="D43" i="58" s="1"/>
  <c r="D43" i="59" s="1"/>
  <c r="D43" i="60" s="1"/>
  <c r="D43" i="61" s="1"/>
  <c r="D44" i="53"/>
  <c r="D44" i="54" s="1"/>
  <c r="D44" i="55" s="1"/>
  <c r="D44" i="56" s="1"/>
  <c r="D44" i="57" s="1"/>
  <c r="D44" i="58" s="1"/>
  <c r="D44" i="59" s="1"/>
  <c r="D44" i="60" s="1"/>
  <c r="D44" i="61" s="1"/>
  <c r="D45" i="53"/>
  <c r="D45" i="54" s="1"/>
  <c r="D45" i="55" s="1"/>
  <c r="D45" i="56" s="1"/>
  <c r="D45" i="57" s="1"/>
  <c r="D45" i="58" s="1"/>
  <c r="D45" i="59" s="1"/>
  <c r="D45" i="60" s="1"/>
  <c r="D45" i="61" s="1"/>
  <c r="D46" i="53"/>
  <c r="D46" i="54" s="1"/>
  <c r="D46" i="55" s="1"/>
  <c r="D46" i="56" s="1"/>
  <c r="D46" i="57" s="1"/>
  <c r="D46" i="58" s="1"/>
  <c r="D46" i="59" s="1"/>
  <c r="D46" i="60" s="1"/>
  <c r="D46" i="61" s="1"/>
  <c r="D47" i="53"/>
  <c r="D47" i="54" s="1"/>
  <c r="D47" i="55" s="1"/>
  <c r="D47" i="56" s="1"/>
  <c r="D47" i="57" s="1"/>
  <c r="D47" i="58" s="1"/>
  <c r="D47" i="59" s="1"/>
  <c r="D47" i="60" s="1"/>
  <c r="D47" i="61" s="1"/>
  <c r="D48" i="53"/>
  <c r="D48" i="54" s="1"/>
  <c r="D48" i="55" s="1"/>
  <c r="D48" i="56" s="1"/>
  <c r="D48" i="57" s="1"/>
  <c r="D48" i="58" s="1"/>
  <c r="D48" i="59" s="1"/>
  <c r="D48" i="60" s="1"/>
  <c r="D48" i="61" s="1"/>
  <c r="D49" i="53"/>
  <c r="D49" i="54" s="1"/>
  <c r="D49" i="55" s="1"/>
  <c r="D49" i="56" s="1"/>
  <c r="D49" i="57" s="1"/>
  <c r="D49" i="58" s="1"/>
  <c r="D49" i="59" s="1"/>
  <c r="D49" i="60" s="1"/>
  <c r="D49" i="61" s="1"/>
  <c r="D50" i="53"/>
  <c r="D50" i="54" s="1"/>
  <c r="D50" i="55" s="1"/>
  <c r="D50" i="56" s="1"/>
  <c r="D50" i="57" s="1"/>
  <c r="D50" i="58" s="1"/>
  <c r="D50" i="59" s="1"/>
  <c r="D50" i="60" s="1"/>
  <c r="D50" i="61" s="1"/>
  <c r="D51" i="53"/>
  <c r="D51" i="54" s="1"/>
  <c r="D51" i="55" s="1"/>
  <c r="D51" i="56" s="1"/>
  <c r="D51" i="57" s="1"/>
  <c r="D51" i="58" s="1"/>
  <c r="D51" i="59" s="1"/>
  <c r="D51" i="60" s="1"/>
  <c r="D51" i="61" s="1"/>
  <c r="D52" i="53"/>
  <c r="D52" i="54" s="1"/>
  <c r="D52" i="55" s="1"/>
  <c r="D52" i="56" s="1"/>
  <c r="D52" i="57" s="1"/>
  <c r="D52" i="58" s="1"/>
  <c r="D52" i="59" s="1"/>
  <c r="D52" i="60" s="1"/>
  <c r="D52" i="61" s="1"/>
  <c r="D53" i="53"/>
  <c r="D53" i="54" s="1"/>
  <c r="D53" i="55" s="1"/>
  <c r="D53" i="56" s="1"/>
  <c r="D53" i="57" s="1"/>
  <c r="D53" i="58" s="1"/>
  <c r="D53" i="59" s="1"/>
  <c r="D53" i="60" s="1"/>
  <c r="D53" i="61" s="1"/>
  <c r="D54" i="53"/>
  <c r="D54" i="54" s="1"/>
  <c r="D54" i="55" s="1"/>
  <c r="D54" i="56" s="1"/>
  <c r="D54" i="57" s="1"/>
  <c r="D54" i="58" s="1"/>
  <c r="D54" i="59" s="1"/>
  <c r="D54" i="60" s="1"/>
  <c r="D54" i="61" s="1"/>
  <c r="D55" i="53"/>
  <c r="D55" i="54" s="1"/>
  <c r="D55" i="55" s="1"/>
  <c r="D55" i="56" s="1"/>
  <c r="D55" i="57" s="1"/>
  <c r="D55" i="58" s="1"/>
  <c r="D55" i="59" s="1"/>
  <c r="D55" i="60" s="1"/>
  <c r="D55" i="61" s="1"/>
  <c r="D56" i="53"/>
  <c r="D56" i="54" s="1"/>
  <c r="D56" i="55" s="1"/>
  <c r="D56" i="56" s="1"/>
  <c r="D56" i="57" s="1"/>
  <c r="D56" i="58" s="1"/>
  <c r="D56" i="59" s="1"/>
  <c r="D56" i="60" s="1"/>
  <c r="D56" i="61" s="1"/>
  <c r="D57" i="53"/>
  <c r="D57" i="54" s="1"/>
  <c r="D57" i="55" s="1"/>
  <c r="D57" i="56" s="1"/>
  <c r="D57" i="57" s="1"/>
  <c r="D57" i="58" s="1"/>
  <c r="D57" i="59" s="1"/>
  <c r="D57" i="60" s="1"/>
  <c r="D57" i="61" s="1"/>
  <c r="D58" i="53"/>
  <c r="D58" i="54" s="1"/>
  <c r="D58" i="55" s="1"/>
  <c r="D58" i="56" s="1"/>
  <c r="D58" i="57" s="1"/>
  <c r="D58" i="58" s="1"/>
  <c r="D58" i="59" s="1"/>
  <c r="D58" i="60" s="1"/>
  <c r="D58" i="61" s="1"/>
  <c r="D59" i="53"/>
  <c r="D59" i="54" s="1"/>
  <c r="D59" i="55" s="1"/>
  <c r="D59" i="56" s="1"/>
  <c r="D59" i="57" s="1"/>
  <c r="D59" i="58" s="1"/>
  <c r="D59" i="59" s="1"/>
  <c r="D59" i="60" s="1"/>
  <c r="D59" i="61" s="1"/>
  <c r="D60" i="53"/>
  <c r="D60" i="54" s="1"/>
  <c r="D60" i="55" s="1"/>
  <c r="D60" i="56" s="1"/>
  <c r="D60" i="57" s="1"/>
  <c r="D60" i="58" s="1"/>
  <c r="D60" i="59" s="1"/>
  <c r="D60" i="60" s="1"/>
  <c r="D60" i="61" s="1"/>
  <c r="D61" i="53"/>
  <c r="D61" i="54" s="1"/>
  <c r="D61" i="55" s="1"/>
  <c r="D61" i="56" s="1"/>
  <c r="D61" i="57" s="1"/>
  <c r="D61" i="58" s="1"/>
  <c r="D61" i="59" s="1"/>
  <c r="D61" i="60" s="1"/>
  <c r="D61" i="61" s="1"/>
  <c r="D62" i="53"/>
  <c r="D62" i="54" s="1"/>
  <c r="D62" i="55" s="1"/>
  <c r="D62" i="56" s="1"/>
  <c r="D62" i="57" s="1"/>
  <c r="D62" i="58" s="1"/>
  <c r="D62" i="59" s="1"/>
  <c r="D62" i="60" s="1"/>
  <c r="D62" i="61" s="1"/>
  <c r="D63" i="53"/>
  <c r="D63" i="54" s="1"/>
  <c r="D63" i="55" s="1"/>
  <c r="D63" i="56" s="1"/>
  <c r="D63" i="57" s="1"/>
  <c r="D63" i="58" s="1"/>
  <c r="D63" i="59" s="1"/>
  <c r="D63" i="60" s="1"/>
  <c r="D63" i="61" s="1"/>
  <c r="D64" i="53"/>
  <c r="D64" i="54" s="1"/>
  <c r="D64" i="55" s="1"/>
  <c r="D64" i="56" s="1"/>
  <c r="D64" i="57" s="1"/>
  <c r="D64" i="58" s="1"/>
  <c r="D64" i="59" s="1"/>
  <c r="D64" i="60" s="1"/>
  <c r="D64" i="61" s="1"/>
  <c r="D65" i="53"/>
  <c r="D65" i="54" s="1"/>
  <c r="D65" i="55" s="1"/>
  <c r="D65" i="56" s="1"/>
  <c r="D65" i="57" s="1"/>
  <c r="D65" i="58" s="1"/>
  <c r="D65" i="59" s="1"/>
  <c r="D65" i="60" s="1"/>
  <c r="D65" i="61" s="1"/>
  <c r="D39" i="53"/>
  <c r="D39" i="54" s="1"/>
  <c r="D39" i="55" s="1"/>
  <c r="D39" i="56" s="1"/>
  <c r="D39" i="57" s="1"/>
  <c r="D39" i="58" s="1"/>
  <c r="D39" i="59" s="1"/>
  <c r="D39" i="60" s="1"/>
  <c r="D39" i="61" s="1"/>
  <c r="B44" i="53"/>
  <c r="B44" i="54" s="1"/>
  <c r="B44" i="55" s="1"/>
  <c r="B44" i="56" s="1"/>
  <c r="B44" i="57" s="1"/>
  <c r="B44" i="58" s="1"/>
  <c r="B44" i="59" s="1"/>
  <c r="B44" i="60" s="1"/>
  <c r="B44" i="61" s="1"/>
  <c r="B45" i="53"/>
  <c r="B45" i="54" s="1"/>
  <c r="B45" i="55" s="1"/>
  <c r="B45" i="56" s="1"/>
  <c r="B45" i="57" s="1"/>
  <c r="B45" i="58" s="1"/>
  <c r="B45" i="59" s="1"/>
  <c r="B45" i="60" s="1"/>
  <c r="B45" i="61" s="1"/>
  <c r="B46" i="53"/>
  <c r="B46" i="54" s="1"/>
  <c r="B46" i="55" s="1"/>
  <c r="B46" i="56" s="1"/>
  <c r="B46" i="57" s="1"/>
  <c r="B46" i="58" s="1"/>
  <c r="B46" i="59" s="1"/>
  <c r="B46" i="60" s="1"/>
  <c r="B46" i="61" s="1"/>
  <c r="B47" i="53"/>
  <c r="B47" i="54" s="1"/>
  <c r="B47" i="55" s="1"/>
  <c r="B47" i="56" s="1"/>
  <c r="B47" i="57" s="1"/>
  <c r="B47" i="58" s="1"/>
  <c r="B47" i="59" s="1"/>
  <c r="B47" i="60" s="1"/>
  <c r="B47" i="61" s="1"/>
  <c r="B48" i="53"/>
  <c r="B48" i="54" s="1"/>
  <c r="B48" i="55" s="1"/>
  <c r="B48" i="56" s="1"/>
  <c r="B48" i="57" s="1"/>
  <c r="B48" i="58" s="1"/>
  <c r="B48" i="59" s="1"/>
  <c r="B48" i="60" s="1"/>
  <c r="B48" i="61" s="1"/>
  <c r="B49" i="53"/>
  <c r="B49" i="54" s="1"/>
  <c r="B49" i="55" s="1"/>
  <c r="B49" i="56" s="1"/>
  <c r="B49" i="57" s="1"/>
  <c r="B49" i="58" s="1"/>
  <c r="B49" i="59" s="1"/>
  <c r="B49" i="60" s="1"/>
  <c r="B49" i="61" s="1"/>
  <c r="B50" i="53"/>
  <c r="B50" i="54" s="1"/>
  <c r="B50" i="55" s="1"/>
  <c r="B50" i="56" s="1"/>
  <c r="B50" i="57" s="1"/>
  <c r="B50" i="58" s="1"/>
  <c r="B50" i="59" s="1"/>
  <c r="B50" i="60" s="1"/>
  <c r="B50" i="61" s="1"/>
  <c r="B51" i="53"/>
  <c r="B51" i="54" s="1"/>
  <c r="B51" i="55" s="1"/>
  <c r="B51" i="56" s="1"/>
  <c r="B51" i="57" s="1"/>
  <c r="B51" i="58" s="1"/>
  <c r="B51" i="59" s="1"/>
  <c r="B51" i="60" s="1"/>
  <c r="B51" i="61" s="1"/>
  <c r="B52" i="53"/>
  <c r="B52" i="54" s="1"/>
  <c r="B52" i="55" s="1"/>
  <c r="B52" i="56" s="1"/>
  <c r="B52" i="57" s="1"/>
  <c r="B52" i="58" s="1"/>
  <c r="B52" i="59" s="1"/>
  <c r="B52" i="60" s="1"/>
  <c r="B52" i="61" s="1"/>
  <c r="B53" i="53"/>
  <c r="B53" i="54" s="1"/>
  <c r="B53" i="55" s="1"/>
  <c r="B53" i="56" s="1"/>
  <c r="B53" i="57" s="1"/>
  <c r="B53" i="58" s="1"/>
  <c r="B53" i="59" s="1"/>
  <c r="B53" i="60" s="1"/>
  <c r="B53" i="61" s="1"/>
  <c r="B54" i="53"/>
  <c r="B54" i="54" s="1"/>
  <c r="B54" i="55" s="1"/>
  <c r="B54" i="56" s="1"/>
  <c r="B54" i="57" s="1"/>
  <c r="B54" i="58" s="1"/>
  <c r="B54" i="59" s="1"/>
  <c r="B54" i="60" s="1"/>
  <c r="B54" i="61" s="1"/>
  <c r="B55" i="53"/>
  <c r="B55" i="54" s="1"/>
  <c r="B55" i="55" s="1"/>
  <c r="B55" i="56" s="1"/>
  <c r="B55" i="57" s="1"/>
  <c r="B55" i="58" s="1"/>
  <c r="B55" i="59" s="1"/>
  <c r="B55" i="60" s="1"/>
  <c r="B55" i="61" s="1"/>
  <c r="B56" i="53"/>
  <c r="B56" i="54" s="1"/>
  <c r="B56" i="55" s="1"/>
  <c r="B56" i="56" s="1"/>
  <c r="B56" i="57" s="1"/>
  <c r="B56" i="58" s="1"/>
  <c r="B56" i="59" s="1"/>
  <c r="B56" i="60" s="1"/>
  <c r="B56" i="61" s="1"/>
  <c r="B57" i="53"/>
  <c r="B57" i="54" s="1"/>
  <c r="B57" i="55" s="1"/>
  <c r="B57" i="56" s="1"/>
  <c r="B57" i="57" s="1"/>
  <c r="B57" i="58" s="1"/>
  <c r="B57" i="59" s="1"/>
  <c r="B57" i="60" s="1"/>
  <c r="B57" i="61" s="1"/>
  <c r="B58" i="53"/>
  <c r="B58" i="54" s="1"/>
  <c r="B58" i="55" s="1"/>
  <c r="B58" i="56" s="1"/>
  <c r="B58" i="57" s="1"/>
  <c r="B58" i="58" s="1"/>
  <c r="B58" i="59" s="1"/>
  <c r="B58" i="60" s="1"/>
  <c r="B58" i="61" s="1"/>
  <c r="B59" i="53"/>
  <c r="B59" i="54" s="1"/>
  <c r="B59" i="55" s="1"/>
  <c r="B59" i="56" s="1"/>
  <c r="B59" i="57" s="1"/>
  <c r="B59" i="58" s="1"/>
  <c r="B59" i="59" s="1"/>
  <c r="B59" i="60" s="1"/>
  <c r="B59" i="61" s="1"/>
  <c r="B60" i="53"/>
  <c r="B60" i="54" s="1"/>
  <c r="B60" i="55" s="1"/>
  <c r="B60" i="56" s="1"/>
  <c r="B60" i="57" s="1"/>
  <c r="B60" i="58" s="1"/>
  <c r="B60" i="59" s="1"/>
  <c r="B60" i="60" s="1"/>
  <c r="B60" i="61" s="1"/>
  <c r="B61" i="53"/>
  <c r="B61" i="54" s="1"/>
  <c r="B61" i="55" s="1"/>
  <c r="B61" i="56" s="1"/>
  <c r="B61" i="57" s="1"/>
  <c r="B61" i="58" s="1"/>
  <c r="B61" i="59" s="1"/>
  <c r="B61" i="60" s="1"/>
  <c r="B61" i="61" s="1"/>
  <c r="B62" i="53"/>
  <c r="B62" i="54" s="1"/>
  <c r="B62" i="55" s="1"/>
  <c r="B62" i="56" s="1"/>
  <c r="B62" i="57" s="1"/>
  <c r="B62" i="58" s="1"/>
  <c r="B62" i="59" s="1"/>
  <c r="B62" i="60" s="1"/>
  <c r="B62" i="61" s="1"/>
  <c r="B63" i="53"/>
  <c r="B63" i="54" s="1"/>
  <c r="B63" i="55" s="1"/>
  <c r="B63" i="56" s="1"/>
  <c r="B63" i="57" s="1"/>
  <c r="B63" i="58" s="1"/>
  <c r="B63" i="59" s="1"/>
  <c r="B63" i="60" s="1"/>
  <c r="B63" i="61" s="1"/>
  <c r="B64" i="53"/>
  <c r="B64" i="54" s="1"/>
  <c r="B64" i="55" s="1"/>
  <c r="B64" i="56" s="1"/>
  <c r="B64" i="57" s="1"/>
  <c r="B64" i="58" s="1"/>
  <c r="B64" i="59" s="1"/>
  <c r="B64" i="60" s="1"/>
  <c r="B64" i="61" s="1"/>
  <c r="B65" i="53"/>
  <c r="B65" i="54" s="1"/>
  <c r="B65" i="55" s="1"/>
  <c r="B65" i="56" s="1"/>
  <c r="B65" i="57" s="1"/>
  <c r="B65" i="58" s="1"/>
  <c r="B65" i="59" s="1"/>
  <c r="B65" i="60" s="1"/>
  <c r="B65" i="61" s="1"/>
  <c r="B39" i="53"/>
  <c r="B39" i="54" s="1"/>
  <c r="B39" i="55" s="1"/>
  <c r="B39" i="56" s="1"/>
  <c r="B39" i="57" s="1"/>
  <c r="B39" i="58" s="1"/>
  <c r="B39" i="59" s="1"/>
  <c r="B39" i="60" s="1"/>
  <c r="B39" i="61" s="1"/>
  <c r="F121" i="53"/>
  <c r="J120" i="53"/>
  <c r="F159" i="35" s="1"/>
  <c r="J119" i="53"/>
  <c r="J118" i="53"/>
  <c r="F63" i="35" s="1"/>
  <c r="J117" i="53"/>
  <c r="F62" i="35" s="1"/>
  <c r="J116" i="53"/>
  <c r="F61" i="35" s="1"/>
  <c r="J115" i="53"/>
  <c r="F139" i="35" s="1"/>
  <c r="J114" i="53"/>
  <c r="J113" i="53"/>
  <c r="F58" i="35" s="1"/>
  <c r="J112" i="53"/>
  <c r="F127" i="35" s="1"/>
  <c r="J111" i="53"/>
  <c r="J110" i="53"/>
  <c r="F55" i="35" s="1"/>
  <c r="J109" i="53"/>
  <c r="F115" i="35" s="1"/>
  <c r="J108" i="53"/>
  <c r="F53" i="35" s="1"/>
  <c r="J107" i="53"/>
  <c r="J106" i="53"/>
  <c r="F103" i="35" s="1"/>
  <c r="J105" i="53"/>
  <c r="F50" i="35" s="1"/>
  <c r="J104" i="53"/>
  <c r="J103" i="53"/>
  <c r="F91" i="35" s="1"/>
  <c r="J102" i="53"/>
  <c r="J101" i="53"/>
  <c r="F83" i="35" s="1"/>
  <c r="O92" i="53"/>
  <c r="O87" i="53"/>
  <c r="O83" i="53"/>
  <c r="F23" i="35" s="1"/>
  <c r="O66" i="53"/>
  <c r="C159" i="35"/>
  <c r="C155" i="35"/>
  <c r="C151" i="35"/>
  <c r="C147" i="35"/>
  <c r="C143" i="35"/>
  <c r="C139" i="35"/>
  <c r="C135" i="35"/>
  <c r="C131" i="35"/>
  <c r="C127" i="35"/>
  <c r="C123" i="35"/>
  <c r="C119" i="35"/>
  <c r="C115" i="35"/>
  <c r="C111" i="35"/>
  <c r="C107" i="35"/>
  <c r="C103" i="35"/>
  <c r="C99" i="35"/>
  <c r="C95" i="35"/>
  <c r="C91" i="35"/>
  <c r="C87" i="35"/>
  <c r="C83" i="35"/>
  <c r="F121" i="30"/>
  <c r="J110" i="30"/>
  <c r="E55" i="35" s="1"/>
  <c r="J111" i="30"/>
  <c r="E56" i="35" s="1"/>
  <c r="J112" i="30"/>
  <c r="K112" i="30" s="1"/>
  <c r="E128" i="35" s="1"/>
  <c r="J113" i="30"/>
  <c r="K113" i="30" s="1"/>
  <c r="L113" i="30" s="1"/>
  <c r="J114" i="30"/>
  <c r="K114" i="30" s="1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J115" i="30"/>
  <c r="K115" i="30" s="1"/>
  <c r="J116" i="30"/>
  <c r="J106" i="30"/>
  <c r="E103" i="35" s="1"/>
  <c r="J107" i="30"/>
  <c r="J108" i="30"/>
  <c r="E53" i="35" s="1"/>
  <c r="J109" i="30"/>
  <c r="J117" i="30"/>
  <c r="K117" i="30" s="1"/>
  <c r="J118" i="30"/>
  <c r="E63" i="35" s="1"/>
  <c r="J119" i="30"/>
  <c r="K119" i="30" s="1"/>
  <c r="J120" i="30"/>
  <c r="O92" i="30"/>
  <c r="E39" i="35"/>
  <c r="K40" i="30"/>
  <c r="K43" i="30"/>
  <c r="K44" i="30"/>
  <c r="K45" i="30"/>
  <c r="K46" i="30"/>
  <c r="K47" i="30"/>
  <c r="K48" i="30"/>
  <c r="K49" i="30"/>
  <c r="C14" i="30"/>
  <c r="M41" i="30" s="1"/>
  <c r="C13" i="30"/>
  <c r="M40" i="30" s="1"/>
  <c r="C12" i="30"/>
  <c r="M39" i="30" s="1"/>
  <c r="K48" i="53"/>
  <c r="G48" i="53"/>
  <c r="M48" i="53" s="1"/>
  <c r="N48" i="53" s="1"/>
  <c r="L91" i="35"/>
  <c r="G41" i="46"/>
  <c r="G35" i="46"/>
  <c r="G29" i="46"/>
  <c r="G23" i="46"/>
  <c r="G17" i="46"/>
  <c r="G39" i="43"/>
  <c r="G33" i="43"/>
  <c r="G27" i="43"/>
  <c r="G21" i="43"/>
  <c r="G15" i="43"/>
  <c r="C47" i="35"/>
  <c r="C48" i="35"/>
  <c r="C49" i="35"/>
  <c r="C50" i="35"/>
  <c r="C46" i="35"/>
  <c r="E12" i="35"/>
  <c r="I7" i="46" s="1"/>
  <c r="E70" i="35"/>
  <c r="E44" i="35"/>
  <c r="E43" i="35"/>
  <c r="E42" i="35"/>
  <c r="E41" i="35"/>
  <c r="E38" i="35"/>
  <c r="E37" i="35"/>
  <c r="E36" i="35"/>
  <c r="E35" i="35"/>
  <c r="O34" i="35"/>
  <c r="O32" i="35"/>
  <c r="E27" i="35"/>
  <c r="E25" i="35"/>
  <c r="E22" i="35"/>
  <c r="E21" i="35"/>
  <c r="E19" i="35"/>
  <c r="E18" i="35"/>
  <c r="C7" i="35"/>
  <c r="C5" i="35"/>
  <c r="C3" i="35"/>
  <c r="O66" i="30"/>
  <c r="K14" i="30"/>
  <c r="J105" i="30"/>
  <c r="E50" i="35" s="1"/>
  <c r="J104" i="30"/>
  <c r="E95" i="35" s="1"/>
  <c r="J103" i="30"/>
  <c r="K103" i="30" s="1"/>
  <c r="J102" i="30"/>
  <c r="E87" i="35" s="1"/>
  <c r="J101" i="30"/>
  <c r="K101" i="30" s="1"/>
  <c r="O83" i="30"/>
  <c r="E23" i="35" s="1"/>
  <c r="L14" i="30"/>
  <c r="L13" i="30"/>
  <c r="N63" i="35"/>
  <c r="N46" i="35"/>
  <c r="L65" i="35"/>
  <c r="G87" i="35"/>
  <c r="H64" i="35"/>
  <c r="J58" i="35"/>
  <c r="M143" i="35"/>
  <c r="K39" i="54"/>
  <c r="N139" i="35"/>
  <c r="D34" i="62"/>
  <c r="I83" i="35"/>
  <c r="I54" i="35"/>
  <c r="F31" i="62"/>
  <c r="H91" i="35"/>
  <c r="G95" i="35"/>
  <c r="J91" i="35"/>
  <c r="L50" i="35"/>
  <c r="M119" i="35"/>
  <c r="M55" i="35"/>
  <c r="M47" i="35"/>
  <c r="G46" i="35"/>
  <c r="H103" i="35"/>
  <c r="H51" i="35"/>
  <c r="K18" i="46"/>
  <c r="D15" i="43"/>
  <c r="K40" i="43"/>
  <c r="K28" i="43"/>
  <c r="I7" i="43"/>
  <c r="K36" i="43"/>
  <c r="K24" i="43"/>
  <c r="K34" i="43"/>
  <c r="K41" i="43"/>
  <c r="K29" i="43"/>
  <c r="K22" i="43"/>
  <c r="K7" i="43"/>
  <c r="K23" i="43"/>
  <c r="D16" i="43"/>
  <c r="K18" i="43"/>
  <c r="K42" i="43"/>
  <c r="K16" i="43"/>
  <c r="K35" i="43"/>
  <c r="K17" i="43"/>
  <c r="K30" i="43"/>
  <c r="D40" i="43"/>
  <c r="E46" i="35" l="1"/>
  <c r="M37" i="30"/>
  <c r="F34" i="62"/>
  <c r="N61" i="35"/>
  <c r="N48" i="35"/>
  <c r="N17" i="35"/>
  <c r="M53" i="35"/>
  <c r="L62" i="35"/>
  <c r="H46" i="35"/>
  <c r="K46" i="35"/>
  <c r="I55" i="35"/>
  <c r="I143" i="35"/>
  <c r="I24" i="35"/>
  <c r="M91" i="35"/>
  <c r="K48" i="35"/>
  <c r="H24" i="35"/>
  <c r="K24" i="35"/>
  <c r="H87" i="35"/>
  <c r="H99" i="35"/>
  <c r="K51" i="35"/>
  <c r="L24" i="35"/>
  <c r="K17" i="35"/>
  <c r="N24" i="35"/>
  <c r="G24" i="35"/>
  <c r="E24" i="35"/>
  <c r="J24" i="35"/>
  <c r="F24" i="35"/>
  <c r="M24" i="35"/>
  <c r="M148" i="30"/>
  <c r="M113" i="30" s="1"/>
  <c r="E134" i="35" s="1"/>
  <c r="N41" i="30"/>
  <c r="N42" i="30"/>
  <c r="N43" i="30"/>
  <c r="L43" i="30" s="1"/>
  <c r="L55" i="53"/>
  <c r="N55" i="53"/>
  <c r="O55" i="53" s="1"/>
  <c r="N39" i="30"/>
  <c r="L39" i="30" s="1"/>
  <c r="N40" i="30"/>
  <c r="L40" i="30" s="1"/>
  <c r="K40" i="53"/>
  <c r="G58" i="53"/>
  <c r="M58" i="53" s="1"/>
  <c r="E49" i="35"/>
  <c r="E48" i="35"/>
  <c r="K104" i="53"/>
  <c r="L104" i="53" s="1"/>
  <c r="F97" i="35" s="1"/>
  <c r="I151" i="35"/>
  <c r="K62" i="35"/>
  <c r="G57" i="35"/>
  <c r="I65" i="35"/>
  <c r="F111" i="35"/>
  <c r="F51" i="35"/>
  <c r="E119" i="35"/>
  <c r="E147" i="35"/>
  <c r="E131" i="35"/>
  <c r="J155" i="35"/>
  <c r="H111" i="35"/>
  <c r="I59" i="35"/>
  <c r="L57" i="35"/>
  <c r="L58" i="35"/>
  <c r="H57" i="35"/>
  <c r="N50" i="35"/>
  <c r="K135" i="35"/>
  <c r="L155" i="35"/>
  <c r="J59" i="35"/>
  <c r="K54" i="35"/>
  <c r="I111" i="35"/>
  <c r="J127" i="35"/>
  <c r="G155" i="35"/>
  <c r="K53" i="35"/>
  <c r="G56" i="35"/>
  <c r="H55" i="35"/>
  <c r="N131" i="35"/>
  <c r="J53" i="35"/>
  <c r="K65" i="35"/>
  <c r="I147" i="35"/>
  <c r="G65" i="35"/>
  <c r="I56" i="35"/>
  <c r="M63" i="35"/>
  <c r="L61" i="35"/>
  <c r="H60" i="35"/>
  <c r="L56" i="35"/>
  <c r="M107" i="35"/>
  <c r="G62" i="35"/>
  <c r="L55" i="35"/>
  <c r="K155" i="35"/>
  <c r="J54" i="35"/>
  <c r="K113" i="61"/>
  <c r="N132" i="35" s="1"/>
  <c r="J147" i="35"/>
  <c r="I107" i="35"/>
  <c r="J107" i="35"/>
  <c r="J151" i="35"/>
  <c r="M51" i="35"/>
  <c r="H61" i="35"/>
  <c r="N57" i="35"/>
  <c r="K58" i="35"/>
  <c r="K108" i="55"/>
  <c r="L108" i="55" s="1"/>
  <c r="H113" i="35" s="1"/>
  <c r="J50" i="35"/>
  <c r="K120" i="54"/>
  <c r="L120" i="54" s="1"/>
  <c r="G161" i="35" s="1"/>
  <c r="H123" i="35"/>
  <c r="H159" i="35"/>
  <c r="G52" i="35"/>
  <c r="J61" i="35"/>
  <c r="M50" i="35"/>
  <c r="K119" i="35"/>
  <c r="M57" i="35"/>
  <c r="N147" i="35"/>
  <c r="I103" i="35"/>
  <c r="O103" i="35" s="1"/>
  <c r="F99" i="35"/>
  <c r="H63" i="35"/>
  <c r="H54" i="35"/>
  <c r="F151" i="35"/>
  <c r="K109" i="55"/>
  <c r="L109" i="55" s="1"/>
  <c r="H117" i="35" s="1"/>
  <c r="H131" i="35"/>
  <c r="I127" i="35"/>
  <c r="L135" i="35"/>
  <c r="K114" i="60"/>
  <c r="M136" i="35" s="1"/>
  <c r="N155" i="35"/>
  <c r="H52" i="35"/>
  <c r="N123" i="35"/>
  <c r="K116" i="60"/>
  <c r="L116" i="60" s="1"/>
  <c r="L63" i="35"/>
  <c r="K115" i="60"/>
  <c r="M140" i="35" s="1"/>
  <c r="M60" i="35"/>
  <c r="K107" i="58"/>
  <c r="L107" i="58" s="1"/>
  <c r="K109" i="35" s="1"/>
  <c r="L53" i="35"/>
  <c r="K139" i="35"/>
  <c r="N119" i="35"/>
  <c r="L115" i="30"/>
  <c r="E141" i="35" s="1"/>
  <c r="E140" i="35"/>
  <c r="K116" i="55"/>
  <c r="H144" i="35" s="1"/>
  <c r="K119" i="60"/>
  <c r="L119" i="60" s="1"/>
  <c r="K63" i="35"/>
  <c r="L51" i="35"/>
  <c r="K103" i="55"/>
  <c r="L103" i="55" s="1"/>
  <c r="H93" i="35" s="1"/>
  <c r="K108" i="57"/>
  <c r="J112" i="35" s="1"/>
  <c r="M131" i="35"/>
  <c r="I64" i="35"/>
  <c r="E51" i="35"/>
  <c r="K47" i="35"/>
  <c r="G151" i="35"/>
  <c r="H95" i="35"/>
  <c r="K107" i="35"/>
  <c r="K103" i="60"/>
  <c r="L103" i="60" s="1"/>
  <c r="M93" i="35" s="1"/>
  <c r="G123" i="53"/>
  <c r="M59" i="35"/>
  <c r="K61" i="35"/>
  <c r="E59" i="35"/>
  <c r="K105" i="54"/>
  <c r="G100" i="35" s="1"/>
  <c r="K110" i="57"/>
  <c r="J120" i="35" s="1"/>
  <c r="M95" i="35"/>
  <c r="M135" i="35"/>
  <c r="L17" i="35"/>
  <c r="E155" i="35"/>
  <c r="M56" i="35"/>
  <c r="E58" i="35"/>
  <c r="E64" i="35"/>
  <c r="G59" i="35"/>
  <c r="M64" i="35"/>
  <c r="J49" i="35"/>
  <c r="D42" i="46"/>
  <c r="K57" i="35"/>
  <c r="M61" i="35"/>
  <c r="K115" i="61"/>
  <c r="N140" i="35" s="1"/>
  <c r="K20" i="35"/>
  <c r="M65" i="35"/>
  <c r="K103" i="54"/>
  <c r="G92" i="35" s="1"/>
  <c r="G51" i="35"/>
  <c r="L87" i="35"/>
  <c r="N54" i="35"/>
  <c r="N65" i="35"/>
  <c r="K119" i="54"/>
  <c r="L119" i="54" s="1"/>
  <c r="G157" i="35" s="1"/>
  <c r="K114" i="55"/>
  <c r="L114" i="55" s="1"/>
  <c r="H137" i="35" s="1"/>
  <c r="K110" i="54"/>
  <c r="G120" i="35" s="1"/>
  <c r="G119" i="35"/>
  <c r="I139" i="35"/>
  <c r="K110" i="59"/>
  <c r="L120" i="35" s="1"/>
  <c r="M147" i="35"/>
  <c r="E107" i="35"/>
  <c r="K103" i="57"/>
  <c r="L103" i="57" s="1"/>
  <c r="J93" i="35" s="1"/>
  <c r="K107" i="61"/>
  <c r="L107" i="61" s="1"/>
  <c r="N109" i="35" s="1"/>
  <c r="K109" i="30"/>
  <c r="E116" i="35" s="1"/>
  <c r="F54" i="35"/>
  <c r="J139" i="35"/>
  <c r="J121" i="58"/>
  <c r="O99" i="58" s="1"/>
  <c r="N111" i="35"/>
  <c r="M46" i="35"/>
  <c r="L46" i="35"/>
  <c r="K105" i="57"/>
  <c r="L105" i="57" s="1"/>
  <c r="J101" i="35" s="1"/>
  <c r="K109" i="61"/>
  <c r="L109" i="61" s="1"/>
  <c r="N117" i="35" s="1"/>
  <c r="G54" i="35"/>
  <c r="L54" i="35"/>
  <c r="K108" i="56"/>
  <c r="I112" i="35" s="1"/>
  <c r="K113" i="54"/>
  <c r="G132" i="35" s="1"/>
  <c r="N49" i="35"/>
  <c r="E132" i="35"/>
  <c r="K116" i="59"/>
  <c r="L144" i="35" s="1"/>
  <c r="H135" i="35"/>
  <c r="E54" i="35"/>
  <c r="J48" i="35"/>
  <c r="K105" i="53"/>
  <c r="L105" i="53" s="1"/>
  <c r="F101" i="35" s="1"/>
  <c r="L107" i="35"/>
  <c r="L139" i="35"/>
  <c r="K110" i="30"/>
  <c r="L110" i="30" s="1"/>
  <c r="E121" i="35" s="1"/>
  <c r="K105" i="55"/>
  <c r="L105" i="55" s="1"/>
  <c r="H101" i="35" s="1"/>
  <c r="G99" i="35"/>
  <c r="I95" i="35"/>
  <c r="I131" i="35"/>
  <c r="K123" i="35"/>
  <c r="M115" i="35"/>
  <c r="K112" i="56"/>
  <c r="L112" i="56" s="1"/>
  <c r="I129" i="35" s="1"/>
  <c r="K105" i="58"/>
  <c r="K100" i="35" s="1"/>
  <c r="J121" i="61"/>
  <c r="K116" i="57"/>
  <c r="L116" i="57" s="1"/>
  <c r="J121" i="55"/>
  <c r="I47" i="35"/>
  <c r="K106" i="54"/>
  <c r="G104" i="35" s="1"/>
  <c r="F119" i="35"/>
  <c r="G91" i="35"/>
  <c r="G50" i="35"/>
  <c r="K120" i="56"/>
  <c r="I160" i="35" s="1"/>
  <c r="G60" i="35"/>
  <c r="I50" i="35"/>
  <c r="K107" i="60"/>
  <c r="L107" i="60" s="1"/>
  <c r="G143" i="35"/>
  <c r="J83" i="35"/>
  <c r="J119" i="35"/>
  <c r="K49" i="35"/>
  <c r="N103" i="35"/>
  <c r="N135" i="35"/>
  <c r="G111" i="35"/>
  <c r="J87" i="35"/>
  <c r="J123" i="35"/>
  <c r="J159" i="35"/>
  <c r="N107" i="35"/>
  <c r="N60" i="35"/>
  <c r="N20" i="35"/>
  <c r="K103" i="59"/>
  <c r="L103" i="59" s="1"/>
  <c r="L93" i="35" s="1"/>
  <c r="E57" i="35"/>
  <c r="K111" i="58"/>
  <c r="L111" i="58" s="1"/>
  <c r="J51" i="35"/>
  <c r="J121" i="60"/>
  <c r="K50" i="35"/>
  <c r="I48" i="35"/>
  <c r="J121" i="54"/>
  <c r="E123" i="35"/>
  <c r="K116" i="30"/>
  <c r="L116" i="30" s="1"/>
  <c r="E145" i="35" s="1"/>
  <c r="G58" i="35"/>
  <c r="F46" i="35"/>
  <c r="K113" i="58"/>
  <c r="K132" i="35" s="1"/>
  <c r="K105" i="59"/>
  <c r="L100" i="35" s="1"/>
  <c r="J121" i="59"/>
  <c r="J121" i="57"/>
  <c r="J121" i="56"/>
  <c r="K111" i="30"/>
  <c r="E124" i="35" s="1"/>
  <c r="E159" i="35"/>
  <c r="L49" i="35"/>
  <c r="K113" i="56"/>
  <c r="I132" i="35" s="1"/>
  <c r="K114" i="61"/>
  <c r="L114" i="61" s="1"/>
  <c r="N137" i="35" s="1"/>
  <c r="K109" i="57"/>
  <c r="J116" i="35" s="1"/>
  <c r="H62" i="35"/>
  <c r="K118" i="30"/>
  <c r="E152" i="35" s="1"/>
  <c r="K108" i="53"/>
  <c r="L108" i="53" s="1"/>
  <c r="F113" i="35" s="1"/>
  <c r="E127" i="35"/>
  <c r="K119" i="53"/>
  <c r="F156" i="35" s="1"/>
  <c r="N47" i="35"/>
  <c r="K120" i="30"/>
  <c r="K103" i="61"/>
  <c r="N92" i="35" s="1"/>
  <c r="K109" i="53"/>
  <c r="F116" i="35" s="1"/>
  <c r="K102" i="59"/>
  <c r="L88" i="35" s="1"/>
  <c r="F20" i="35"/>
  <c r="J40" i="35"/>
  <c r="J17" i="35"/>
  <c r="K40" i="35"/>
  <c r="M40" i="35"/>
  <c r="N40" i="35"/>
  <c r="M17" i="35"/>
  <c r="G17" i="35"/>
  <c r="O42" i="35"/>
  <c r="L20" i="35"/>
  <c r="H20" i="35"/>
  <c r="D38" i="46"/>
  <c r="H40" i="35"/>
  <c r="L40" i="35"/>
  <c r="O22" i="35"/>
  <c r="D23" i="46" s="1"/>
  <c r="M20" i="35"/>
  <c r="G20" i="35"/>
  <c r="H17" i="35"/>
  <c r="J20" i="35"/>
  <c r="I17" i="35"/>
  <c r="O43" i="35"/>
  <c r="I20" i="35"/>
  <c r="I40" i="35"/>
  <c r="G40" i="35"/>
  <c r="O37" i="35"/>
  <c r="O39" i="35"/>
  <c r="K109" i="59"/>
  <c r="L109" i="59" s="1"/>
  <c r="L117" i="35" s="1"/>
  <c r="K112" i="53"/>
  <c r="F128" i="35" s="1"/>
  <c r="K116" i="61"/>
  <c r="L116" i="61" s="1"/>
  <c r="N145" i="35" s="1"/>
  <c r="K109" i="56"/>
  <c r="L109" i="56" s="1"/>
  <c r="F57" i="35"/>
  <c r="K112" i="55"/>
  <c r="H128" i="35" s="1"/>
  <c r="F143" i="35"/>
  <c r="F131" i="35"/>
  <c r="K114" i="57"/>
  <c r="J136" i="35" s="1"/>
  <c r="K112" i="58"/>
  <c r="K128" i="35" s="1"/>
  <c r="K110" i="53"/>
  <c r="L110" i="53" s="1"/>
  <c r="F121" i="35" s="1"/>
  <c r="F147" i="35"/>
  <c r="K106" i="59"/>
  <c r="L104" i="35" s="1"/>
  <c r="F59" i="35"/>
  <c r="F56" i="35"/>
  <c r="K117" i="54"/>
  <c r="G148" i="35" s="1"/>
  <c r="F87" i="35"/>
  <c r="K117" i="55"/>
  <c r="H148" i="35" s="1"/>
  <c r="K118" i="55"/>
  <c r="H152" i="35" s="1"/>
  <c r="K110" i="55"/>
  <c r="L110" i="55" s="1"/>
  <c r="H121" i="35" s="1"/>
  <c r="K117" i="59"/>
  <c r="L148" i="35" s="1"/>
  <c r="O38" i="35"/>
  <c r="K118" i="58"/>
  <c r="L118" i="58" s="1"/>
  <c r="K153" i="35" s="1"/>
  <c r="K112" i="57"/>
  <c r="L112" i="57" s="1"/>
  <c r="J129" i="35" s="1"/>
  <c r="K118" i="54"/>
  <c r="L118" i="54" s="1"/>
  <c r="G153" i="35" s="1"/>
  <c r="K110" i="56"/>
  <c r="I120" i="35" s="1"/>
  <c r="K112" i="54"/>
  <c r="L112" i="54" s="1"/>
  <c r="K110" i="60"/>
  <c r="M120" i="35" s="1"/>
  <c r="K104" i="59"/>
  <c r="L104" i="59" s="1"/>
  <c r="L97" i="35" s="1"/>
  <c r="K53" i="54"/>
  <c r="K120" i="58"/>
  <c r="L120" i="58" s="1"/>
  <c r="K161" i="35" s="1"/>
  <c r="K113" i="57"/>
  <c r="J132" i="35" s="1"/>
  <c r="K105" i="61"/>
  <c r="N100" i="35" s="1"/>
  <c r="K110" i="58"/>
  <c r="K120" i="35" s="1"/>
  <c r="G53" i="53"/>
  <c r="O28" i="35"/>
  <c r="F17" i="35"/>
  <c r="K114" i="56"/>
  <c r="L114" i="56" s="1"/>
  <c r="I137" i="35" s="1"/>
  <c r="K110" i="61"/>
  <c r="L110" i="61" s="1"/>
  <c r="N121" i="35" s="1"/>
  <c r="K104" i="58"/>
  <c r="L104" i="58" s="1"/>
  <c r="K97" i="35" s="1"/>
  <c r="O30" i="35"/>
  <c r="F65" i="35"/>
  <c r="K113" i="53"/>
  <c r="L113" i="53" s="1"/>
  <c r="K113" i="55"/>
  <c r="L113" i="55" s="1"/>
  <c r="H133" i="35" s="1"/>
  <c r="K105" i="56"/>
  <c r="L105" i="56" s="1"/>
  <c r="I101" i="35" s="1"/>
  <c r="K113" i="60"/>
  <c r="M132" i="35" s="1"/>
  <c r="K114" i="58"/>
  <c r="K136" i="35" s="1"/>
  <c r="K112" i="59"/>
  <c r="L112" i="59" s="1"/>
  <c r="L129" i="35" s="1"/>
  <c r="F135" i="35"/>
  <c r="G39" i="54"/>
  <c r="M39" i="54" s="1"/>
  <c r="N39" i="54" s="1"/>
  <c r="K112" i="61"/>
  <c r="L112" i="61" s="1"/>
  <c r="N129" i="35" s="1"/>
  <c r="K113" i="59"/>
  <c r="L132" i="35" s="1"/>
  <c r="K115" i="56"/>
  <c r="L115" i="56" s="1"/>
  <c r="I141" i="35" s="1"/>
  <c r="K120" i="61"/>
  <c r="L120" i="61" s="1"/>
  <c r="N161" i="35" s="1"/>
  <c r="F48" i="35"/>
  <c r="O25" i="35"/>
  <c r="D25" i="46" s="1"/>
  <c r="O44" i="35"/>
  <c r="K107" i="56"/>
  <c r="I108" i="35" s="1"/>
  <c r="K41" i="53"/>
  <c r="K103" i="58"/>
  <c r="L103" i="58" s="1"/>
  <c r="K93" i="35" s="1"/>
  <c r="F95" i="35"/>
  <c r="O95" i="35" s="1"/>
  <c r="O26" i="35"/>
  <c r="D26" i="46" s="1"/>
  <c r="O70" i="35"/>
  <c r="K106" i="61"/>
  <c r="N104" i="35" s="1"/>
  <c r="K101" i="53"/>
  <c r="L101" i="53" s="1"/>
  <c r="F85" i="35" s="1"/>
  <c r="O27" i="35"/>
  <c r="D27" i="46" s="1"/>
  <c r="K116" i="54"/>
  <c r="G144" i="35" s="1"/>
  <c r="O41" i="35"/>
  <c r="F49" i="35"/>
  <c r="K118" i="59"/>
  <c r="L118" i="59" s="1"/>
  <c r="L153" i="35" s="1"/>
  <c r="K119" i="56"/>
  <c r="I156" i="35" s="1"/>
  <c r="K119" i="57"/>
  <c r="J156" i="35" s="1"/>
  <c r="K111" i="53"/>
  <c r="F124" i="35" s="1"/>
  <c r="K114" i="59"/>
  <c r="L136" i="35" s="1"/>
  <c r="K111" i="55"/>
  <c r="L111" i="55" s="1"/>
  <c r="H125" i="35" s="1"/>
  <c r="J121" i="53"/>
  <c r="K111" i="54"/>
  <c r="G124" i="35" s="1"/>
  <c r="F47" i="35"/>
  <c r="O21" i="35"/>
  <c r="D22" i="46" s="1"/>
  <c r="K102" i="57"/>
  <c r="J88" i="35" s="1"/>
  <c r="F123" i="35"/>
  <c r="K111" i="60"/>
  <c r="M124" i="35" s="1"/>
  <c r="K107" i="54"/>
  <c r="G108" i="35" s="1"/>
  <c r="K108" i="59"/>
  <c r="L112" i="35" s="1"/>
  <c r="F64" i="35"/>
  <c r="F155" i="35"/>
  <c r="K111" i="59"/>
  <c r="L124" i="35" s="1"/>
  <c r="K106" i="57"/>
  <c r="J104" i="35" s="1"/>
  <c r="F52" i="35"/>
  <c r="F60" i="35"/>
  <c r="K111" i="57"/>
  <c r="L111" i="57" s="1"/>
  <c r="J125" i="35" s="1"/>
  <c r="K111" i="61"/>
  <c r="N124" i="35" s="1"/>
  <c r="K106" i="60"/>
  <c r="M104" i="35" s="1"/>
  <c r="K114" i="54"/>
  <c r="G136" i="35" s="1"/>
  <c r="K115" i="57"/>
  <c r="L115" i="57" s="1"/>
  <c r="J141" i="35" s="1"/>
  <c r="F107" i="35"/>
  <c r="K115" i="59"/>
  <c r="L140" i="35" s="1"/>
  <c r="K111" i="56"/>
  <c r="L111" i="56" s="1"/>
  <c r="K114" i="53"/>
  <c r="L114" i="53" s="1"/>
  <c r="F137" i="35" s="1"/>
  <c r="K54" i="53"/>
  <c r="K107" i="59"/>
  <c r="L107" i="59" s="1"/>
  <c r="L109" i="35" s="1"/>
  <c r="K119" i="61"/>
  <c r="L119" i="61" s="1"/>
  <c r="N157" i="35" s="1"/>
  <c r="K119" i="58"/>
  <c r="K156" i="35" s="1"/>
  <c r="K119" i="55"/>
  <c r="H156" i="35" s="1"/>
  <c r="K119" i="59"/>
  <c r="L119" i="59" s="1"/>
  <c r="L157" i="35" s="1"/>
  <c r="K112" i="60"/>
  <c r="L112" i="60" s="1"/>
  <c r="M129" i="35" s="1"/>
  <c r="O36" i="35"/>
  <c r="K49" i="53"/>
  <c r="O19" i="35"/>
  <c r="D21" i="46" s="1"/>
  <c r="F40" i="35"/>
  <c r="O74" i="35"/>
  <c r="G65" i="53"/>
  <c r="M65" i="53" s="1"/>
  <c r="G63" i="53"/>
  <c r="M63" i="53" s="1"/>
  <c r="N63" i="53" s="1"/>
  <c r="K60" i="55"/>
  <c r="K65" i="53"/>
  <c r="O35" i="35"/>
  <c r="K39" i="55"/>
  <c r="K63" i="56"/>
  <c r="K50" i="53"/>
  <c r="K42" i="53"/>
  <c r="K42" i="56"/>
  <c r="O23" i="35"/>
  <c r="D24" i="46" s="1"/>
  <c r="E92" i="35"/>
  <c r="L103" i="30"/>
  <c r="E93" i="35" s="1"/>
  <c r="K102" i="54"/>
  <c r="L102" i="54" s="1"/>
  <c r="K116" i="58"/>
  <c r="K144" i="35" s="1"/>
  <c r="K109" i="54"/>
  <c r="G116" i="35" s="1"/>
  <c r="K105" i="30"/>
  <c r="M105" i="30" s="1"/>
  <c r="L112" i="30"/>
  <c r="E129" i="35" s="1"/>
  <c r="K104" i="56"/>
  <c r="I96" i="35" s="1"/>
  <c r="K102" i="30"/>
  <c r="M102" i="30" s="1"/>
  <c r="K104" i="57"/>
  <c r="J96" i="35" s="1"/>
  <c r="K102" i="58"/>
  <c r="K109" i="60"/>
  <c r="L109" i="60" s="1"/>
  <c r="M117" i="35" s="1"/>
  <c r="E99" i="35"/>
  <c r="K116" i="53"/>
  <c r="F144" i="35" s="1"/>
  <c r="K118" i="57"/>
  <c r="J152" i="35" s="1"/>
  <c r="K104" i="30"/>
  <c r="E96" i="35" s="1"/>
  <c r="K104" i="60"/>
  <c r="L104" i="60" s="1"/>
  <c r="M97" i="35" s="1"/>
  <c r="K115" i="55"/>
  <c r="L115" i="55" s="1"/>
  <c r="H141" i="35" s="1"/>
  <c r="K109" i="58"/>
  <c r="K116" i="35" s="1"/>
  <c r="E84" i="35"/>
  <c r="E115" i="35"/>
  <c r="O115" i="35" s="1"/>
  <c r="K118" i="53"/>
  <c r="L118" i="53" s="1"/>
  <c r="F153" i="35" s="1"/>
  <c r="K104" i="55"/>
  <c r="L104" i="55" s="1"/>
  <c r="H97" i="35" s="1"/>
  <c r="K105" i="60"/>
  <c r="M100" i="35" s="1"/>
  <c r="K103" i="56"/>
  <c r="I92" i="35" s="1"/>
  <c r="K118" i="56"/>
  <c r="K104" i="54"/>
  <c r="G96" i="35" s="1"/>
  <c r="K103" i="53"/>
  <c r="L103" i="53" s="1"/>
  <c r="F93" i="35" s="1"/>
  <c r="K106" i="30"/>
  <c r="M106" i="30" s="1"/>
  <c r="K106" i="53"/>
  <c r="F104" i="35" s="1"/>
  <c r="K102" i="61"/>
  <c r="L102" i="61" s="1"/>
  <c r="N89" i="35" s="1"/>
  <c r="K102" i="53"/>
  <c r="L102" i="53" s="1"/>
  <c r="E91" i="35"/>
  <c r="K108" i="58"/>
  <c r="K112" i="35" s="1"/>
  <c r="K102" i="60"/>
  <c r="M88" i="35" s="1"/>
  <c r="K118" i="61"/>
  <c r="L118" i="61" s="1"/>
  <c r="N153" i="35" s="1"/>
  <c r="K102" i="56"/>
  <c r="L102" i="56" s="1"/>
  <c r="I89" i="35" s="1"/>
  <c r="K118" i="60"/>
  <c r="M152" i="35" s="1"/>
  <c r="E65" i="35"/>
  <c r="E139" i="35"/>
  <c r="K102" i="55"/>
  <c r="H88" i="35" s="1"/>
  <c r="K117" i="58"/>
  <c r="K148" i="35" s="1"/>
  <c r="K104" i="61"/>
  <c r="L104" i="61" s="1"/>
  <c r="K120" i="55"/>
  <c r="L120" i="55" s="1"/>
  <c r="H161" i="35" s="1"/>
  <c r="G60" i="53"/>
  <c r="M60" i="53" s="1"/>
  <c r="E151" i="35"/>
  <c r="K107" i="53"/>
  <c r="F108" i="35" s="1"/>
  <c r="K58" i="55"/>
  <c r="K62" i="56"/>
  <c r="K55" i="53"/>
  <c r="K51" i="53"/>
  <c r="G64" i="53"/>
  <c r="M64" i="53" s="1"/>
  <c r="K46" i="53"/>
  <c r="G61" i="53"/>
  <c r="M61" i="53" s="1"/>
  <c r="N61" i="53" s="1"/>
  <c r="K49" i="54"/>
  <c r="G52" i="53"/>
  <c r="M52" i="53" s="1"/>
  <c r="K41" i="54"/>
  <c r="E148" i="35"/>
  <c r="L117" i="30"/>
  <c r="E149" i="35" s="1"/>
  <c r="L114" i="30"/>
  <c r="E137" i="35" s="1"/>
  <c r="E136" i="35"/>
  <c r="L119" i="30"/>
  <c r="E157" i="35" s="1"/>
  <c r="E156" i="35"/>
  <c r="E133" i="35"/>
  <c r="K106" i="56"/>
  <c r="L106" i="56" s="1"/>
  <c r="I105" i="35" s="1"/>
  <c r="E83" i="35"/>
  <c r="O83" i="35" s="1"/>
  <c r="K19" i="46" s="1"/>
  <c r="E135" i="35"/>
  <c r="K116" i="56"/>
  <c r="L116" i="56" s="1"/>
  <c r="I145" i="35" s="1"/>
  <c r="K120" i="59"/>
  <c r="L160" i="35" s="1"/>
  <c r="E62" i="35"/>
  <c r="E111" i="35"/>
  <c r="J121" i="30"/>
  <c r="K108" i="54"/>
  <c r="G112" i="35" s="1"/>
  <c r="K108" i="30"/>
  <c r="M108" i="30" s="1"/>
  <c r="E114" i="35" s="1"/>
  <c r="K43" i="53"/>
  <c r="G43" i="53"/>
  <c r="G43" i="54" s="1"/>
  <c r="M119" i="30"/>
  <c r="E158" i="35" s="1"/>
  <c r="M117" i="30"/>
  <c r="E150" i="35" s="1"/>
  <c r="E47" i="35"/>
  <c r="M103" i="30"/>
  <c r="K106" i="55"/>
  <c r="L106" i="55" s="1"/>
  <c r="H105" i="35" s="1"/>
  <c r="K117" i="60"/>
  <c r="L117" i="60" s="1"/>
  <c r="K107" i="57"/>
  <c r="L107" i="57" s="1"/>
  <c r="J109" i="35" s="1"/>
  <c r="K120" i="57"/>
  <c r="L120" i="57" s="1"/>
  <c r="J161" i="35" s="1"/>
  <c r="K120" i="53"/>
  <c r="F160" i="35" s="1"/>
  <c r="K115" i="54"/>
  <c r="G140" i="35" s="1"/>
  <c r="K115" i="58"/>
  <c r="M115" i="30"/>
  <c r="E142" i="35" s="1"/>
  <c r="K108" i="61"/>
  <c r="K107" i="55"/>
  <c r="E52" i="35"/>
  <c r="K115" i="53"/>
  <c r="L115" i="53" s="1"/>
  <c r="F141" i="35" s="1"/>
  <c r="K117" i="57"/>
  <c r="M112" i="30"/>
  <c r="K106" i="58"/>
  <c r="L106" i="58" s="1"/>
  <c r="K105" i="35" s="1"/>
  <c r="K107" i="30"/>
  <c r="E61" i="35"/>
  <c r="E143" i="35"/>
  <c r="E60" i="35"/>
  <c r="K117" i="53"/>
  <c r="K117" i="61"/>
  <c r="L117" i="61" s="1"/>
  <c r="K108" i="60"/>
  <c r="L108" i="60" s="1"/>
  <c r="M113" i="35" s="1"/>
  <c r="K117" i="56"/>
  <c r="M114" i="30"/>
  <c r="E138" i="35" s="1"/>
  <c r="K120" i="60"/>
  <c r="N62" i="30"/>
  <c r="O62" i="30" s="1"/>
  <c r="G50" i="53"/>
  <c r="M50" i="53" s="1"/>
  <c r="N50" i="53" s="1"/>
  <c r="K61" i="55"/>
  <c r="G51" i="53"/>
  <c r="M51" i="53" s="1"/>
  <c r="N51" i="53" s="1"/>
  <c r="K65" i="54"/>
  <c r="K65" i="55"/>
  <c r="K43" i="54"/>
  <c r="E17" i="35"/>
  <c r="K45" i="55"/>
  <c r="G59" i="53"/>
  <c r="M59" i="53" s="1"/>
  <c r="N59" i="53" s="1"/>
  <c r="G40" i="54"/>
  <c r="K55" i="54"/>
  <c r="G62" i="53"/>
  <c r="M62" i="53" s="1"/>
  <c r="G47" i="53"/>
  <c r="M47" i="53" s="1"/>
  <c r="K47" i="53"/>
  <c r="L48" i="53"/>
  <c r="K54" i="54"/>
  <c r="K56" i="53"/>
  <c r="E40" i="35"/>
  <c r="G54" i="53"/>
  <c r="M54" i="53" s="1"/>
  <c r="G48" i="54"/>
  <c r="G45" i="53"/>
  <c r="M45" i="53" s="1"/>
  <c r="N45" i="53" s="1"/>
  <c r="K63" i="53"/>
  <c r="E20" i="35"/>
  <c r="K50" i="54"/>
  <c r="M49" i="53"/>
  <c r="N49" i="53" s="1"/>
  <c r="G57" i="53"/>
  <c r="M57" i="53" s="1"/>
  <c r="N57" i="53" s="1"/>
  <c r="K57" i="53"/>
  <c r="K47" i="54"/>
  <c r="L46" i="53"/>
  <c r="M56" i="53"/>
  <c r="N56" i="53" s="1"/>
  <c r="G44" i="53"/>
  <c r="M44" i="53" s="1"/>
  <c r="N44" i="53" s="1"/>
  <c r="O18" i="35"/>
  <c r="D20" i="46" s="1"/>
  <c r="M39" i="53"/>
  <c r="N39" i="53" s="1"/>
  <c r="D19" i="43"/>
  <c r="K101" i="54" l="1"/>
  <c r="G84" i="35" s="1"/>
  <c r="M101" i="30"/>
  <c r="E86" i="35" s="1"/>
  <c r="L101" i="30"/>
  <c r="O87" i="35"/>
  <c r="L54" i="53"/>
  <c r="N54" i="53"/>
  <c r="O54" i="53" s="1"/>
  <c r="L60" i="53"/>
  <c r="N60" i="53"/>
  <c r="O60" i="53" s="1"/>
  <c r="L62" i="53"/>
  <c r="N62" i="53"/>
  <c r="O62" i="53" s="1"/>
  <c r="L52" i="53"/>
  <c r="N52" i="53"/>
  <c r="O52" i="53" s="1"/>
  <c r="L58" i="53"/>
  <c r="N58" i="53"/>
  <c r="O58" i="53" s="1"/>
  <c r="L64" i="53"/>
  <c r="N64" i="53"/>
  <c r="O64" i="53" s="1"/>
  <c r="L47" i="53"/>
  <c r="N47" i="53"/>
  <c r="O47" i="53" s="1"/>
  <c r="L65" i="53"/>
  <c r="N65" i="53"/>
  <c r="O65" i="53" s="1"/>
  <c r="E15" i="35"/>
  <c r="M92" i="35"/>
  <c r="K92" i="35"/>
  <c r="F96" i="35"/>
  <c r="M111" i="30"/>
  <c r="E126" i="35" s="1"/>
  <c r="J92" i="35"/>
  <c r="L103" i="54"/>
  <c r="G93" i="35" s="1"/>
  <c r="H92" i="35"/>
  <c r="M118" i="30"/>
  <c r="E154" i="35" s="1"/>
  <c r="K108" i="35"/>
  <c r="J144" i="35"/>
  <c r="O55" i="35"/>
  <c r="M116" i="30"/>
  <c r="E146" i="35" s="1"/>
  <c r="L111" i="30"/>
  <c r="E125" i="35" s="1"/>
  <c r="O147" i="35"/>
  <c r="L109" i="30"/>
  <c r="E117" i="35" s="1"/>
  <c r="G160" i="35"/>
  <c r="M109" i="30"/>
  <c r="E118" i="35" s="1"/>
  <c r="E144" i="35"/>
  <c r="L113" i="61"/>
  <c r="N133" i="35" s="1"/>
  <c r="O111" i="35"/>
  <c r="O53" i="35"/>
  <c r="O159" i="35"/>
  <c r="O119" i="35"/>
  <c r="H136" i="35"/>
  <c r="M144" i="35"/>
  <c r="L115" i="61"/>
  <c r="N141" i="35" s="1"/>
  <c r="H116" i="35"/>
  <c r="O127" i="35"/>
  <c r="L108" i="57"/>
  <c r="J113" i="35" s="1"/>
  <c r="L110" i="54"/>
  <c r="G121" i="35" s="1"/>
  <c r="K152" i="35"/>
  <c r="O59" i="35"/>
  <c r="O63" i="35"/>
  <c r="K124" i="35"/>
  <c r="N108" i="35"/>
  <c r="L110" i="57"/>
  <c r="J121" i="35" s="1"/>
  <c r="J100" i="35"/>
  <c r="L113" i="54"/>
  <c r="G133" i="35" s="1"/>
  <c r="L115" i="60"/>
  <c r="M141" i="35" s="1"/>
  <c r="G128" i="35"/>
  <c r="I128" i="35"/>
  <c r="L113" i="56"/>
  <c r="I133" i="35" s="1"/>
  <c r="L105" i="54"/>
  <c r="G101" i="35" s="1"/>
  <c r="H112" i="35"/>
  <c r="M108" i="35"/>
  <c r="F100" i="35"/>
  <c r="L105" i="58"/>
  <c r="K101" i="35" s="1"/>
  <c r="N136" i="35"/>
  <c r="L108" i="56"/>
  <c r="I113" i="35" s="1"/>
  <c r="L114" i="60"/>
  <c r="M137" i="35" s="1"/>
  <c r="O155" i="35"/>
  <c r="O58" i="35"/>
  <c r="O151" i="35"/>
  <c r="O54" i="35"/>
  <c r="O51" i="35"/>
  <c r="O50" i="35"/>
  <c r="O107" i="35"/>
  <c r="N116" i="35"/>
  <c r="M156" i="35"/>
  <c r="O99" i="35"/>
  <c r="E120" i="35"/>
  <c r="O139" i="35"/>
  <c r="L110" i="59"/>
  <c r="L121" i="35" s="1"/>
  <c r="L105" i="59"/>
  <c r="L101" i="35" s="1"/>
  <c r="L109" i="53"/>
  <c r="F117" i="35" s="1"/>
  <c r="O64" i="35"/>
  <c r="O49" i="35"/>
  <c r="K45" i="35"/>
  <c r="O61" i="35"/>
  <c r="L109" i="57"/>
  <c r="J117" i="35" s="1"/>
  <c r="L111" i="53"/>
  <c r="F125" i="35" s="1"/>
  <c r="L118" i="30"/>
  <c r="N118" i="30" s="1"/>
  <c r="G156" i="35"/>
  <c r="O156" i="35" s="1"/>
  <c r="H100" i="35"/>
  <c r="L92" i="35"/>
  <c r="O46" i="35"/>
  <c r="L7" i="53"/>
  <c r="L116" i="55"/>
  <c r="H145" i="35" s="1"/>
  <c r="L116" i="59"/>
  <c r="L145" i="35" s="1"/>
  <c r="O56" i="35"/>
  <c r="O99" i="56"/>
  <c r="I45" i="35"/>
  <c r="H120" i="35"/>
  <c r="O62" i="35"/>
  <c r="O123" i="35"/>
  <c r="O57" i="35"/>
  <c r="J45" i="35"/>
  <c r="O99" i="57"/>
  <c r="O99" i="59"/>
  <c r="L45" i="35"/>
  <c r="L120" i="30"/>
  <c r="E161" i="35" s="1"/>
  <c r="E160" i="35"/>
  <c r="G45" i="35"/>
  <c r="O99" i="54"/>
  <c r="L106" i="59"/>
  <c r="L105" i="35" s="1"/>
  <c r="O99" i="61"/>
  <c r="N45" i="35"/>
  <c r="L117" i="54"/>
  <c r="G149" i="35" s="1"/>
  <c r="M120" i="30"/>
  <c r="E162" i="35" s="1"/>
  <c r="K56" i="55"/>
  <c r="L106" i="54"/>
  <c r="G105" i="35" s="1"/>
  <c r="F112" i="35"/>
  <c r="O48" i="35"/>
  <c r="O99" i="60"/>
  <c r="M45" i="35"/>
  <c r="L103" i="61"/>
  <c r="N93" i="35" s="1"/>
  <c r="L120" i="56"/>
  <c r="I161" i="35" s="1"/>
  <c r="O99" i="55"/>
  <c r="H45" i="35"/>
  <c r="L113" i="58"/>
  <c r="K133" i="35" s="1"/>
  <c r="L102" i="59"/>
  <c r="L89" i="35" s="1"/>
  <c r="L119" i="53"/>
  <c r="F157" i="35" s="1"/>
  <c r="O131" i="35"/>
  <c r="O91" i="35"/>
  <c r="N113" i="30"/>
  <c r="M110" i="30"/>
  <c r="E122" i="35" s="1"/>
  <c r="D30" i="46"/>
  <c r="O24" i="35"/>
  <c r="O65" i="35"/>
  <c r="O20" i="35"/>
  <c r="D29" i="46"/>
  <c r="O60" i="35"/>
  <c r="F132" i="35"/>
  <c r="H132" i="35"/>
  <c r="L107" i="56"/>
  <c r="I109" i="35" s="1"/>
  <c r="L119" i="57"/>
  <c r="J157" i="35" s="1"/>
  <c r="L110" i="60"/>
  <c r="M121" i="35" s="1"/>
  <c r="N156" i="35"/>
  <c r="G53" i="54"/>
  <c r="M53" i="54" s="1"/>
  <c r="K56" i="54"/>
  <c r="L116" i="35"/>
  <c r="L96" i="35"/>
  <c r="K160" i="35"/>
  <c r="L117" i="55"/>
  <c r="H149" i="35" s="1"/>
  <c r="D28" i="46"/>
  <c r="L118" i="55"/>
  <c r="H153" i="35" s="1"/>
  <c r="M53" i="53"/>
  <c r="L112" i="55"/>
  <c r="H129" i="35" s="1"/>
  <c r="G56" i="54"/>
  <c r="G56" i="55" s="1"/>
  <c r="L109" i="54"/>
  <c r="G117" i="35" s="1"/>
  <c r="F120" i="35"/>
  <c r="N160" i="35"/>
  <c r="K96" i="35"/>
  <c r="L112" i="58"/>
  <c r="K129" i="35" s="1"/>
  <c r="L119" i="56"/>
  <c r="I157" i="35" s="1"/>
  <c r="O17" i="35"/>
  <c r="L112" i="53"/>
  <c r="F129" i="35" s="1"/>
  <c r="L152" i="35"/>
  <c r="I124" i="35"/>
  <c r="L117" i="58"/>
  <c r="K149" i="35" s="1"/>
  <c r="L110" i="56"/>
  <c r="I121" i="35" s="1"/>
  <c r="G39" i="55"/>
  <c r="M39" i="55" s="1"/>
  <c r="N39" i="55" s="1"/>
  <c r="N120" i="35"/>
  <c r="O143" i="35"/>
  <c r="L114" i="58"/>
  <c r="K137" i="35" s="1"/>
  <c r="L117" i="59"/>
  <c r="L149" i="35" s="1"/>
  <c r="I140" i="35"/>
  <c r="L119" i="55"/>
  <c r="H157" i="35" s="1"/>
  <c r="L106" i="60"/>
  <c r="M105" i="35" s="1"/>
  <c r="N144" i="35"/>
  <c r="L128" i="35"/>
  <c r="O63" i="53"/>
  <c r="L113" i="59"/>
  <c r="L133" i="35" s="1"/>
  <c r="L115" i="59"/>
  <c r="L141" i="35" s="1"/>
  <c r="L108" i="59"/>
  <c r="L113" i="35" s="1"/>
  <c r="I116" i="35"/>
  <c r="G152" i="35"/>
  <c r="L114" i="57"/>
  <c r="J137" i="35" s="1"/>
  <c r="J128" i="35"/>
  <c r="F84" i="35"/>
  <c r="L106" i="61"/>
  <c r="N105" i="35" s="1"/>
  <c r="L105" i="61"/>
  <c r="N101" i="35" s="1"/>
  <c r="L107" i="54"/>
  <c r="G109" i="35" s="1"/>
  <c r="H124" i="35"/>
  <c r="L116" i="54"/>
  <c r="G145" i="35" s="1"/>
  <c r="L111" i="60"/>
  <c r="M125" i="35" s="1"/>
  <c r="G58" i="54"/>
  <c r="M58" i="54" s="1"/>
  <c r="N58" i="54" s="1"/>
  <c r="O52" i="35"/>
  <c r="J140" i="35"/>
  <c r="L110" i="58"/>
  <c r="K121" i="35" s="1"/>
  <c r="J124" i="35"/>
  <c r="F152" i="35"/>
  <c r="I136" i="35"/>
  <c r="L119" i="58"/>
  <c r="K157" i="35" s="1"/>
  <c r="L63" i="53"/>
  <c r="O40" i="35"/>
  <c r="D31" i="46" s="1"/>
  <c r="L113" i="60"/>
  <c r="M133" i="35" s="1"/>
  <c r="L114" i="54"/>
  <c r="G137" i="35" s="1"/>
  <c r="O137" i="35" s="1"/>
  <c r="L113" i="57"/>
  <c r="J133" i="35" s="1"/>
  <c r="I100" i="35"/>
  <c r="M128" i="35"/>
  <c r="O135" i="35"/>
  <c r="K53" i="56"/>
  <c r="N128" i="35"/>
  <c r="L156" i="35"/>
  <c r="L111" i="61"/>
  <c r="N125" i="35" s="1"/>
  <c r="L103" i="56"/>
  <c r="I93" i="35" s="1"/>
  <c r="L108" i="35"/>
  <c r="L111" i="59"/>
  <c r="L125" i="35" s="1"/>
  <c r="G63" i="54"/>
  <c r="M63" i="54" s="1"/>
  <c r="L114" i="59"/>
  <c r="L137" i="35" s="1"/>
  <c r="O47" i="35"/>
  <c r="L116" i="58"/>
  <c r="K145" i="35" s="1"/>
  <c r="F45" i="35"/>
  <c r="O99" i="53"/>
  <c r="F136" i="35"/>
  <c r="K62" i="54"/>
  <c r="L111" i="54"/>
  <c r="G125" i="35" s="1"/>
  <c r="L104" i="56"/>
  <c r="I97" i="35" s="1"/>
  <c r="L106" i="57"/>
  <c r="J105" i="35" s="1"/>
  <c r="L102" i="57"/>
  <c r="J89" i="35" s="1"/>
  <c r="O61" i="53"/>
  <c r="K58" i="54"/>
  <c r="K42" i="55"/>
  <c r="G42" i="54"/>
  <c r="M42" i="54" s="1"/>
  <c r="O48" i="53"/>
  <c r="K52" i="54"/>
  <c r="H96" i="35"/>
  <c r="O96" i="35" s="1"/>
  <c r="K60" i="54"/>
  <c r="O51" i="53"/>
  <c r="K48" i="55"/>
  <c r="K42" i="54"/>
  <c r="G65" i="54"/>
  <c r="M65" i="54" s="1"/>
  <c r="F140" i="35"/>
  <c r="L109" i="58"/>
  <c r="K117" i="35" s="1"/>
  <c r="N96" i="35"/>
  <c r="G60" i="54"/>
  <c r="M60" i="54" s="1"/>
  <c r="G52" i="54"/>
  <c r="M52" i="54" s="1"/>
  <c r="K58" i="56"/>
  <c r="L118" i="57"/>
  <c r="J153" i="35" s="1"/>
  <c r="L106" i="53"/>
  <c r="F105" i="35" s="1"/>
  <c r="I88" i="35"/>
  <c r="G88" i="35"/>
  <c r="L118" i="60"/>
  <c r="M153" i="35" s="1"/>
  <c r="L116" i="53"/>
  <c r="F145" i="35" s="1"/>
  <c r="F92" i="35"/>
  <c r="L105" i="60"/>
  <c r="M101" i="35" s="1"/>
  <c r="O46" i="53"/>
  <c r="L102" i="55"/>
  <c r="H89" i="35" s="1"/>
  <c r="K63" i="55"/>
  <c r="O50" i="53"/>
  <c r="L104" i="57"/>
  <c r="J97" i="35" s="1"/>
  <c r="N152" i="35"/>
  <c r="K63" i="57"/>
  <c r="K39" i="56"/>
  <c r="L51" i="53"/>
  <c r="N88" i="35"/>
  <c r="K88" i="35"/>
  <c r="L102" i="58"/>
  <c r="K89" i="35" s="1"/>
  <c r="L108" i="58"/>
  <c r="K113" i="35" s="1"/>
  <c r="L118" i="56"/>
  <c r="I153" i="35" s="1"/>
  <c r="I152" i="35"/>
  <c r="K62" i="55"/>
  <c r="L102" i="30"/>
  <c r="E89" i="35" s="1"/>
  <c r="E88" i="35"/>
  <c r="L107" i="53"/>
  <c r="F109" i="35" s="1"/>
  <c r="E100" i="35"/>
  <c r="L105" i="30"/>
  <c r="E101" i="35" s="1"/>
  <c r="O101" i="35" s="1"/>
  <c r="F88" i="35"/>
  <c r="L104" i="54"/>
  <c r="G97" i="35" s="1"/>
  <c r="K121" i="53"/>
  <c r="L120" i="59"/>
  <c r="L161" i="35" s="1"/>
  <c r="N52" i="30"/>
  <c r="O52" i="30" s="1"/>
  <c r="N148" i="35"/>
  <c r="L120" i="53"/>
  <c r="F161" i="35" s="1"/>
  <c r="K64" i="55"/>
  <c r="L102" i="60"/>
  <c r="M89" i="35" s="1"/>
  <c r="M104" i="30"/>
  <c r="E98" i="35" s="1"/>
  <c r="L106" i="30"/>
  <c r="E105" i="35" s="1"/>
  <c r="E104" i="35"/>
  <c r="H160" i="35"/>
  <c r="H140" i="35"/>
  <c r="M116" i="35"/>
  <c r="M96" i="35"/>
  <c r="L104" i="30"/>
  <c r="E97" i="35" s="1"/>
  <c r="L61" i="53"/>
  <c r="N60" i="30"/>
  <c r="O60" i="30" s="1"/>
  <c r="N55" i="30"/>
  <c r="O55" i="30" s="1"/>
  <c r="G41" i="54"/>
  <c r="M41" i="54" s="1"/>
  <c r="J108" i="35"/>
  <c r="N50" i="30"/>
  <c r="O50" i="30" s="1"/>
  <c r="N65" i="30"/>
  <c r="O65" i="30" s="1"/>
  <c r="G51" i="54"/>
  <c r="M51" i="54" s="1"/>
  <c r="N63" i="30"/>
  <c r="O63" i="30" s="1"/>
  <c r="K49" i="56"/>
  <c r="L115" i="54"/>
  <c r="G141" i="35" s="1"/>
  <c r="O141" i="35" s="1"/>
  <c r="N54" i="30"/>
  <c r="O54" i="30" s="1"/>
  <c r="K61" i="54"/>
  <c r="N46" i="30"/>
  <c r="O46" i="30" s="1"/>
  <c r="O43" i="30"/>
  <c r="G61" i="54"/>
  <c r="M61" i="54" s="1"/>
  <c r="N61" i="54" s="1"/>
  <c r="I144" i="35"/>
  <c r="K104" i="35"/>
  <c r="N57" i="30"/>
  <c r="O57" i="30" s="1"/>
  <c r="N58" i="30"/>
  <c r="O58" i="30" s="1"/>
  <c r="N64" i="30"/>
  <c r="O64" i="30" s="1"/>
  <c r="K64" i="54"/>
  <c r="I104" i="35"/>
  <c r="G64" i="54"/>
  <c r="M64" i="54" s="1"/>
  <c r="N53" i="30"/>
  <c r="O53" i="30" s="1"/>
  <c r="G49" i="54"/>
  <c r="M49" i="54" s="1"/>
  <c r="M43" i="54"/>
  <c r="N43" i="54" s="1"/>
  <c r="G43" i="55"/>
  <c r="M43" i="55" s="1"/>
  <c r="I148" i="35"/>
  <c r="L107" i="30"/>
  <c r="E109" i="35" s="1"/>
  <c r="E108" i="35"/>
  <c r="K121" i="30"/>
  <c r="M107" i="30"/>
  <c r="E110" i="35" s="1"/>
  <c r="E90" i="35"/>
  <c r="N51" i="30"/>
  <c r="O51" i="30" s="1"/>
  <c r="L117" i="56"/>
  <c r="I149" i="35" s="1"/>
  <c r="N49" i="30"/>
  <c r="O49" i="30" s="1"/>
  <c r="N61" i="30"/>
  <c r="O61" i="30" s="1"/>
  <c r="N44" i="30"/>
  <c r="O44" i="30" s="1"/>
  <c r="M160" i="35"/>
  <c r="L120" i="60"/>
  <c r="M161" i="35" s="1"/>
  <c r="N114" i="30"/>
  <c r="M112" i="35"/>
  <c r="E130" i="35"/>
  <c r="N112" i="30"/>
  <c r="E102" i="35"/>
  <c r="E106" i="35"/>
  <c r="L117" i="57"/>
  <c r="J149" i="35" s="1"/>
  <c r="J148" i="35"/>
  <c r="F148" i="35"/>
  <c r="L117" i="53"/>
  <c r="F149" i="35" s="1"/>
  <c r="M148" i="35"/>
  <c r="N59" i="30"/>
  <c r="O59" i="30" s="1"/>
  <c r="M43" i="53"/>
  <c r="H104" i="35"/>
  <c r="N117" i="30"/>
  <c r="E94" i="35"/>
  <c r="N103" i="30"/>
  <c r="G47" i="54"/>
  <c r="M47" i="54" s="1"/>
  <c r="L42" i="30"/>
  <c r="N45" i="30"/>
  <c r="O45" i="30" s="1"/>
  <c r="L115" i="58"/>
  <c r="K141" i="35" s="1"/>
  <c r="K140" i="35"/>
  <c r="J160" i="35"/>
  <c r="L108" i="54"/>
  <c r="G113" i="35" s="1"/>
  <c r="N47" i="30"/>
  <c r="O47" i="30" s="1"/>
  <c r="H108" i="35"/>
  <c r="L107" i="55"/>
  <c r="H109" i="35" s="1"/>
  <c r="N56" i="30"/>
  <c r="O56" i="30" s="1"/>
  <c r="G50" i="54"/>
  <c r="M50" i="54" s="1"/>
  <c r="N119" i="30"/>
  <c r="L108" i="30"/>
  <c r="E113" i="35" s="1"/>
  <c r="E112" i="35"/>
  <c r="O99" i="30"/>
  <c r="E45" i="35"/>
  <c r="N48" i="30"/>
  <c r="O48" i="30" s="1"/>
  <c r="N112" i="35"/>
  <c r="L108" i="61"/>
  <c r="N113" i="35" s="1"/>
  <c r="N115" i="30"/>
  <c r="L50" i="53"/>
  <c r="K45" i="54"/>
  <c r="G55" i="54"/>
  <c r="M55" i="54" s="1"/>
  <c r="K42" i="57"/>
  <c r="O59" i="53"/>
  <c r="L59" i="53"/>
  <c r="K46" i="54"/>
  <c r="G46" i="54"/>
  <c r="K64" i="56"/>
  <c r="K43" i="55"/>
  <c r="G62" i="54"/>
  <c r="G62" i="55" s="1"/>
  <c r="K40" i="54"/>
  <c r="G40" i="55"/>
  <c r="K59" i="54"/>
  <c r="G59" i="54"/>
  <c r="M59" i="54" s="1"/>
  <c r="K54" i="55"/>
  <c r="M40" i="54"/>
  <c r="N40" i="54" s="1"/>
  <c r="L45" i="53"/>
  <c r="O45" i="53"/>
  <c r="M48" i="54"/>
  <c r="N48" i="54" s="1"/>
  <c r="G48" i="55"/>
  <c r="K56" i="56"/>
  <c r="K52" i="55"/>
  <c r="G45" i="54"/>
  <c r="G54" i="54"/>
  <c r="M54" i="54" s="1"/>
  <c r="N54" i="54" s="1"/>
  <c r="L44" i="53"/>
  <c r="O44" i="53"/>
  <c r="J145" i="35"/>
  <c r="K125" i="35"/>
  <c r="L57" i="53"/>
  <c r="O57" i="53"/>
  <c r="F133" i="35"/>
  <c r="L56" i="53"/>
  <c r="O56" i="53"/>
  <c r="N97" i="35"/>
  <c r="M109" i="35"/>
  <c r="K47" i="55"/>
  <c r="K44" i="54"/>
  <c r="G44" i="54"/>
  <c r="M44" i="54" s="1"/>
  <c r="N44" i="54" s="1"/>
  <c r="N149" i="35"/>
  <c r="G129" i="35"/>
  <c r="G57" i="54"/>
  <c r="M57" i="54" s="1"/>
  <c r="N57" i="54" s="1"/>
  <c r="K57" i="54"/>
  <c r="K64" i="57"/>
  <c r="I125" i="35"/>
  <c r="O49" i="53"/>
  <c r="L49" i="53"/>
  <c r="M145" i="35"/>
  <c r="F89" i="35"/>
  <c r="M148" i="53"/>
  <c r="M147" i="53"/>
  <c r="G89" i="35"/>
  <c r="O39" i="54"/>
  <c r="L39" i="54"/>
  <c r="K51" i="55"/>
  <c r="L39" i="53"/>
  <c r="K50" i="55"/>
  <c r="M149" i="35"/>
  <c r="I117" i="35"/>
  <c r="M157" i="35"/>
  <c r="D23" i="43"/>
  <c r="D26" i="43"/>
  <c r="D24" i="43"/>
  <c r="D22" i="43"/>
  <c r="D29" i="43"/>
  <c r="D32" i="43"/>
  <c r="D20" i="43"/>
  <c r="D27" i="43"/>
  <c r="D28" i="43"/>
  <c r="D30" i="43"/>
  <c r="D36" i="43"/>
  <c r="D21" i="43"/>
  <c r="D17" i="43"/>
  <c r="D31" i="43"/>
  <c r="K101" i="55" l="1"/>
  <c r="L101" i="55" s="1"/>
  <c r="H85" i="35" s="1"/>
  <c r="K121" i="54"/>
  <c r="L101" i="54"/>
  <c r="G85" i="35" s="1"/>
  <c r="L64" i="54"/>
  <c r="N64" i="54"/>
  <c r="O64" i="54" s="1"/>
  <c r="L50" i="54"/>
  <c r="N50" i="54"/>
  <c r="O50" i="54" s="1"/>
  <c r="N55" i="54"/>
  <c r="O55" i="54" s="1"/>
  <c r="L52" i="54"/>
  <c r="N52" i="54"/>
  <c r="O52" i="54" s="1"/>
  <c r="N42" i="54"/>
  <c r="O42" i="54" s="1"/>
  <c r="L63" i="54"/>
  <c r="N63" i="54"/>
  <c r="O63" i="54" s="1"/>
  <c r="L53" i="53"/>
  <c r="N53" i="53"/>
  <c r="O53" i="53" s="1"/>
  <c r="L51" i="54"/>
  <c r="N51" i="54"/>
  <c r="O51" i="54" s="1"/>
  <c r="N60" i="54"/>
  <c r="O60" i="54" s="1"/>
  <c r="L43" i="53"/>
  <c r="N43" i="53"/>
  <c r="O43" i="53" s="1"/>
  <c r="L59" i="54"/>
  <c r="N59" i="54"/>
  <c r="O59" i="54" s="1"/>
  <c r="L41" i="54"/>
  <c r="N41" i="54"/>
  <c r="O41" i="54" s="1"/>
  <c r="N65" i="54"/>
  <c r="O65" i="54" s="1"/>
  <c r="L47" i="54"/>
  <c r="N47" i="54"/>
  <c r="O47" i="54" s="1"/>
  <c r="L43" i="55"/>
  <c r="N43" i="55"/>
  <c r="O43" i="55" s="1"/>
  <c r="N53" i="54"/>
  <c r="O53" i="54" s="1"/>
  <c r="L49" i="54"/>
  <c r="N49" i="54"/>
  <c r="O49" i="54" s="1"/>
  <c r="O40" i="53"/>
  <c r="L40" i="53"/>
  <c r="O41" i="53"/>
  <c r="L41" i="53"/>
  <c r="O42" i="53"/>
  <c r="L42" i="53"/>
  <c r="O42" i="30"/>
  <c r="O41" i="30"/>
  <c r="L41" i="30"/>
  <c r="O40" i="30"/>
  <c r="O92" i="35"/>
  <c r="O144" i="35"/>
  <c r="L53" i="54"/>
  <c r="G39" i="56"/>
  <c r="G39" i="57" s="1"/>
  <c r="O93" i="35"/>
  <c r="N111" i="30"/>
  <c r="L5" i="54"/>
  <c r="G63" i="55"/>
  <c r="M63" i="55" s="1"/>
  <c r="N63" i="55" s="1"/>
  <c r="N116" i="30"/>
  <c r="O128" i="35"/>
  <c r="N120" i="30"/>
  <c r="O160" i="35"/>
  <c r="N106" i="30"/>
  <c r="E153" i="35"/>
  <c r="O153" i="35" s="1"/>
  <c r="N110" i="30"/>
  <c r="N109" i="30"/>
  <c r="O116" i="35"/>
  <c r="O121" i="35"/>
  <c r="O133" i="35"/>
  <c r="O161" i="35"/>
  <c r="O120" i="35"/>
  <c r="N102" i="30"/>
  <c r="O112" i="35"/>
  <c r="N101" i="30"/>
  <c r="N104" i="30"/>
  <c r="E85" i="35"/>
  <c r="O117" i="35"/>
  <c r="D33" i="46"/>
  <c r="O132" i="35"/>
  <c r="O105" i="35"/>
  <c r="O129" i="35"/>
  <c r="D32" i="46"/>
  <c r="O100" i="35"/>
  <c r="O157" i="35"/>
  <c r="M56" i="54"/>
  <c r="K53" i="57"/>
  <c r="O125" i="35"/>
  <c r="O136" i="35"/>
  <c r="L60" i="54"/>
  <c r="G58" i="55"/>
  <c r="M58" i="55" s="1"/>
  <c r="N58" i="55" s="1"/>
  <c r="L42" i="54"/>
  <c r="M37" i="53"/>
  <c r="F15" i="35" s="1"/>
  <c r="G42" i="55"/>
  <c r="M42" i="55" s="1"/>
  <c r="G52" i="55"/>
  <c r="M52" i="55" s="1"/>
  <c r="O124" i="35"/>
  <c r="K62" i="57"/>
  <c r="K53" i="55"/>
  <c r="O152" i="35"/>
  <c r="O140" i="35"/>
  <c r="G53" i="55"/>
  <c r="M53" i="55" s="1"/>
  <c r="N53" i="55" s="1"/>
  <c r="O45" i="35"/>
  <c r="O145" i="35"/>
  <c r="K41" i="55"/>
  <c r="K60" i="56"/>
  <c r="O97" i="35"/>
  <c r="L121" i="53"/>
  <c r="K61" i="56"/>
  <c r="L65" i="54"/>
  <c r="G65" i="55"/>
  <c r="M65" i="55" s="1"/>
  <c r="K65" i="56"/>
  <c r="G41" i="55"/>
  <c r="M41" i="55" s="1"/>
  <c r="N41" i="55" s="1"/>
  <c r="K48" i="56"/>
  <c r="G60" i="55"/>
  <c r="M60" i="55" s="1"/>
  <c r="O88" i="35"/>
  <c r="K39" i="57"/>
  <c r="O104" i="35"/>
  <c r="G51" i="55"/>
  <c r="M51" i="55" s="1"/>
  <c r="G47" i="55"/>
  <c r="M47" i="55" s="1"/>
  <c r="G49" i="55"/>
  <c r="M49" i="55" s="1"/>
  <c r="L43" i="54"/>
  <c r="N37" i="30"/>
  <c r="E16" i="35" s="1"/>
  <c r="E14" i="35" s="1"/>
  <c r="O149" i="35"/>
  <c r="N105" i="30"/>
  <c r="K49" i="57"/>
  <c r="O39" i="30"/>
  <c r="O43" i="54"/>
  <c r="O61" i="54"/>
  <c r="L61" i="54"/>
  <c r="G64" i="55"/>
  <c r="M64" i="55" s="1"/>
  <c r="N64" i="55" s="1"/>
  <c r="O108" i="35"/>
  <c r="K49" i="55"/>
  <c r="G61" i="55"/>
  <c r="M102" i="53"/>
  <c r="N102" i="53" s="1"/>
  <c r="L55" i="54"/>
  <c r="O113" i="35"/>
  <c r="N108" i="30"/>
  <c r="L121" i="30"/>
  <c r="G55" i="55"/>
  <c r="M55" i="55" s="1"/>
  <c r="N55" i="55" s="1"/>
  <c r="N107" i="30"/>
  <c r="M121" i="30"/>
  <c r="M62" i="54"/>
  <c r="K45" i="56"/>
  <c r="O148" i="35"/>
  <c r="G50" i="55"/>
  <c r="M50" i="55" s="1"/>
  <c r="K55" i="55"/>
  <c r="G54" i="55"/>
  <c r="M54" i="55" s="1"/>
  <c r="K41" i="56"/>
  <c r="K46" i="55"/>
  <c r="G46" i="55"/>
  <c r="M46" i="55" s="1"/>
  <c r="N46" i="55" s="1"/>
  <c r="M46" i="54"/>
  <c r="N46" i="54" s="1"/>
  <c r="K59" i="55"/>
  <c r="G59" i="55"/>
  <c r="M59" i="55" s="1"/>
  <c r="N59" i="55" s="1"/>
  <c r="G40" i="56"/>
  <c r="K40" i="55"/>
  <c r="G43" i="56"/>
  <c r="M43" i="56" s="1"/>
  <c r="N43" i="56" s="1"/>
  <c r="K43" i="56"/>
  <c r="K45" i="57"/>
  <c r="K61" i="57"/>
  <c r="M45" i="54"/>
  <c r="N45" i="54" s="1"/>
  <c r="G45" i="55"/>
  <c r="K52" i="56"/>
  <c r="K56" i="57"/>
  <c r="M40" i="55"/>
  <c r="N40" i="55" s="1"/>
  <c r="M48" i="55"/>
  <c r="N48" i="55" s="1"/>
  <c r="G48" i="56"/>
  <c r="O40" i="54"/>
  <c r="L40" i="54"/>
  <c r="L48" i="54"/>
  <c r="O48" i="54"/>
  <c r="M109" i="53"/>
  <c r="F118" i="35" s="1"/>
  <c r="M62" i="55"/>
  <c r="N62" i="55" s="1"/>
  <c r="G62" i="56"/>
  <c r="K54" i="56"/>
  <c r="L58" i="54"/>
  <c r="O58" i="54"/>
  <c r="L54" i="54"/>
  <c r="O54" i="54"/>
  <c r="M101" i="53"/>
  <c r="M116" i="53"/>
  <c r="K60" i="57"/>
  <c r="K64" i="58"/>
  <c r="M108" i="53"/>
  <c r="M110" i="53"/>
  <c r="K65" i="57"/>
  <c r="K50" i="56"/>
  <c r="M107" i="53"/>
  <c r="K62" i="58"/>
  <c r="G57" i="55"/>
  <c r="M57" i="55" s="1"/>
  <c r="N57" i="55" s="1"/>
  <c r="K57" i="55"/>
  <c r="O57" i="54"/>
  <c r="L57" i="54"/>
  <c r="M56" i="55"/>
  <c r="N56" i="55" s="1"/>
  <c r="G56" i="56"/>
  <c r="M120" i="53"/>
  <c r="O39" i="55"/>
  <c r="L39" i="55"/>
  <c r="M105" i="53"/>
  <c r="M113" i="53"/>
  <c r="O109" i="35"/>
  <c r="M106" i="53"/>
  <c r="M103" i="53"/>
  <c r="L44" i="54"/>
  <c r="O39" i="53"/>
  <c r="M119" i="53"/>
  <c r="K44" i="55"/>
  <c r="G44" i="55"/>
  <c r="M44" i="55" s="1"/>
  <c r="N44" i="55" s="1"/>
  <c r="M118" i="53"/>
  <c r="K51" i="56"/>
  <c r="M111" i="53"/>
  <c r="M115" i="53"/>
  <c r="O89" i="35"/>
  <c r="M112" i="53"/>
  <c r="M114" i="53"/>
  <c r="M117" i="53"/>
  <c r="M104" i="53"/>
  <c r="K47" i="56"/>
  <c r="D37" i="43"/>
  <c r="D25" i="43"/>
  <c r="D18" i="43"/>
  <c r="L121" i="55" l="1"/>
  <c r="K101" i="56"/>
  <c r="I84" i="35" s="1"/>
  <c r="O84" i="35" s="1"/>
  <c r="K20" i="46" s="1"/>
  <c r="H84" i="35"/>
  <c r="K121" i="55"/>
  <c r="L121" i="54"/>
  <c r="N56" i="54"/>
  <c r="O56" i="54" s="1"/>
  <c r="L65" i="55"/>
  <c r="N65" i="55"/>
  <c r="O65" i="55" s="1"/>
  <c r="L50" i="55"/>
  <c r="N50" i="55"/>
  <c r="O50" i="55" s="1"/>
  <c r="L62" i="54"/>
  <c r="N62" i="54"/>
  <c r="O62" i="54" s="1"/>
  <c r="N49" i="55"/>
  <c r="O49" i="55" s="1"/>
  <c r="N52" i="55"/>
  <c r="O52" i="55" s="1"/>
  <c r="N42" i="55"/>
  <c r="O42" i="55" s="1"/>
  <c r="L47" i="55"/>
  <c r="N47" i="55"/>
  <c r="O47" i="55" s="1"/>
  <c r="N51" i="55"/>
  <c r="O51" i="55" s="1"/>
  <c r="L60" i="55"/>
  <c r="N60" i="55"/>
  <c r="O60" i="55" s="1"/>
  <c r="N54" i="55"/>
  <c r="O54" i="55" s="1"/>
  <c r="O37" i="30"/>
  <c r="O155" i="30" s="1"/>
  <c r="O144" i="30" s="1"/>
  <c r="E73" i="35" s="1"/>
  <c r="G63" i="56"/>
  <c r="M63" i="56" s="1"/>
  <c r="N63" i="56" s="1"/>
  <c r="G123" i="54"/>
  <c r="M147" i="54" s="1"/>
  <c r="M39" i="56"/>
  <c r="K63" i="59"/>
  <c r="L52" i="55"/>
  <c r="L56" i="54"/>
  <c r="G41" i="56"/>
  <c r="M41" i="56" s="1"/>
  <c r="K63" i="58"/>
  <c r="G58" i="56"/>
  <c r="M58" i="56" s="1"/>
  <c r="N58" i="56" s="1"/>
  <c r="G42" i="56"/>
  <c r="M42" i="56" s="1"/>
  <c r="K42" i="58"/>
  <c r="L42" i="55"/>
  <c r="G52" i="56"/>
  <c r="M52" i="56" s="1"/>
  <c r="G53" i="56"/>
  <c r="M53" i="56" s="1"/>
  <c r="N53" i="56" s="1"/>
  <c r="G47" i="56"/>
  <c r="M47" i="56" s="1"/>
  <c r="G64" i="56"/>
  <c r="G64" i="57" s="1"/>
  <c r="G51" i="56"/>
  <c r="M51" i="56" s="1"/>
  <c r="L51" i="55"/>
  <c r="K58" i="57"/>
  <c r="G65" i="56"/>
  <c r="M65" i="56" s="1"/>
  <c r="N65" i="56" s="1"/>
  <c r="G60" i="56"/>
  <c r="M60" i="56" s="1"/>
  <c r="G49" i="56"/>
  <c r="M49" i="56" s="1"/>
  <c r="N37" i="53"/>
  <c r="F16" i="35" s="1"/>
  <c r="F14" i="35" s="1"/>
  <c r="L49" i="55"/>
  <c r="F90" i="35"/>
  <c r="O37" i="53"/>
  <c r="O155" i="53" s="1"/>
  <c r="F67" i="35" s="1"/>
  <c r="K48" i="57"/>
  <c r="K39" i="58"/>
  <c r="G49" i="57"/>
  <c r="M49" i="57" s="1"/>
  <c r="L54" i="55"/>
  <c r="M61" i="55"/>
  <c r="N61" i="55" s="1"/>
  <c r="G61" i="56"/>
  <c r="G54" i="56"/>
  <c r="M54" i="56" s="1"/>
  <c r="O55" i="55"/>
  <c r="L55" i="55"/>
  <c r="G50" i="56"/>
  <c r="M50" i="56" s="1"/>
  <c r="K55" i="56"/>
  <c r="M37" i="54"/>
  <c r="G15" i="35" s="1"/>
  <c r="G55" i="56"/>
  <c r="M55" i="56" s="1"/>
  <c r="K41" i="57"/>
  <c r="L41" i="55"/>
  <c r="O41" i="55"/>
  <c r="L59" i="55"/>
  <c r="O59" i="55"/>
  <c r="K59" i="56"/>
  <c r="G59" i="56"/>
  <c r="M59" i="56" s="1"/>
  <c r="N59" i="56" s="1"/>
  <c r="L46" i="54"/>
  <c r="O46" i="54"/>
  <c r="K43" i="57"/>
  <c r="G43" i="57"/>
  <c r="M43" i="57" s="1"/>
  <c r="N43" i="57" s="1"/>
  <c r="K40" i="56"/>
  <c r="G40" i="57"/>
  <c r="O46" i="55"/>
  <c r="L46" i="55"/>
  <c r="K46" i="56"/>
  <c r="G46" i="56"/>
  <c r="M46" i="56" s="1"/>
  <c r="N46" i="56" s="1"/>
  <c r="O43" i="56"/>
  <c r="L43" i="56"/>
  <c r="K58" i="58"/>
  <c r="O53" i="55"/>
  <c r="L53" i="55"/>
  <c r="M45" i="55"/>
  <c r="N45" i="55" s="1"/>
  <c r="G45" i="56"/>
  <c r="K45" i="58"/>
  <c r="L45" i="54"/>
  <c r="O45" i="54"/>
  <c r="K54" i="57"/>
  <c r="N109" i="53"/>
  <c r="M62" i="56"/>
  <c r="N62" i="56" s="1"/>
  <c r="G62" i="57"/>
  <c r="G48" i="57"/>
  <c r="M48" i="56"/>
  <c r="N48" i="56" s="1"/>
  <c r="O62" i="55"/>
  <c r="L62" i="55"/>
  <c r="O48" i="55"/>
  <c r="L48" i="55"/>
  <c r="K61" i="58"/>
  <c r="M40" i="56"/>
  <c r="N40" i="56" s="1"/>
  <c r="L40" i="55"/>
  <c r="O40" i="55"/>
  <c r="K56" i="58"/>
  <c r="L63" i="55"/>
  <c r="O63" i="55"/>
  <c r="O64" i="55"/>
  <c r="L64" i="55"/>
  <c r="L58" i="55"/>
  <c r="O58" i="55"/>
  <c r="K52" i="57"/>
  <c r="N114" i="53"/>
  <c r="F138" i="35"/>
  <c r="O44" i="54"/>
  <c r="F162" i="35"/>
  <c r="N120" i="53"/>
  <c r="L5" i="55"/>
  <c r="L44" i="55"/>
  <c r="O44" i="55"/>
  <c r="F158" i="35"/>
  <c r="N119" i="53"/>
  <c r="L56" i="55"/>
  <c r="O56" i="55"/>
  <c r="F94" i="35"/>
  <c r="N103" i="53"/>
  <c r="F110" i="35"/>
  <c r="N107" i="53"/>
  <c r="K65" i="58"/>
  <c r="N105" i="53"/>
  <c r="F102" i="35"/>
  <c r="K47" i="57"/>
  <c r="K55" i="57"/>
  <c r="O57" i="55"/>
  <c r="L57" i="55"/>
  <c r="M56" i="56"/>
  <c r="N56" i="56" s="1"/>
  <c r="G56" i="57"/>
  <c r="F142" i="35"/>
  <c r="N115" i="53"/>
  <c r="K44" i="56"/>
  <c r="G44" i="56"/>
  <c r="M44" i="56" s="1"/>
  <c r="N44" i="56" s="1"/>
  <c r="F126" i="35"/>
  <c r="N111" i="53"/>
  <c r="K42" i="59"/>
  <c r="N110" i="53"/>
  <c r="F122" i="35"/>
  <c r="F114" i="35"/>
  <c r="N108" i="53"/>
  <c r="F130" i="35"/>
  <c r="N112" i="53"/>
  <c r="F146" i="35"/>
  <c r="N116" i="53"/>
  <c r="F98" i="35"/>
  <c r="N104" i="53"/>
  <c r="M121" i="53"/>
  <c r="N101" i="53"/>
  <c r="F86" i="35"/>
  <c r="K51" i="57"/>
  <c r="F150" i="35"/>
  <c r="N117" i="53"/>
  <c r="F154" i="35"/>
  <c r="N118" i="53"/>
  <c r="F134" i="35"/>
  <c r="N113" i="53"/>
  <c r="K60" i="58"/>
  <c r="K64" i="59"/>
  <c r="K63" i="60"/>
  <c r="F106" i="35"/>
  <c r="N106" i="53"/>
  <c r="G39" i="58"/>
  <c r="M39" i="57"/>
  <c r="N39" i="57" s="1"/>
  <c r="K50" i="57"/>
  <c r="G57" i="56"/>
  <c r="M57" i="56" s="1"/>
  <c r="N57" i="56" s="1"/>
  <c r="K57" i="56"/>
  <c r="K62" i="59"/>
  <c r="D33" i="43"/>
  <c r="K101" i="57" l="1"/>
  <c r="K101" i="58" s="1"/>
  <c r="K101" i="59" s="1"/>
  <c r="L101" i="59" s="1"/>
  <c r="K121" i="56"/>
  <c r="L101" i="56"/>
  <c r="I85" i="35" s="1"/>
  <c r="O85" i="35" s="1"/>
  <c r="M148" i="54"/>
  <c r="L60" i="56"/>
  <c r="N60" i="56"/>
  <c r="O60" i="56" s="1"/>
  <c r="L50" i="56"/>
  <c r="N50" i="56"/>
  <c r="O50" i="56" s="1"/>
  <c r="L54" i="56"/>
  <c r="N54" i="56"/>
  <c r="O54" i="56" s="1"/>
  <c r="L39" i="56"/>
  <c r="N39" i="56"/>
  <c r="O39" i="56" s="1"/>
  <c r="L41" i="56"/>
  <c r="N41" i="56"/>
  <c r="O41" i="56" s="1"/>
  <c r="L51" i="56"/>
  <c r="N51" i="56"/>
  <c r="O51" i="56" s="1"/>
  <c r="L49" i="57"/>
  <c r="N49" i="57"/>
  <c r="O49" i="57" s="1"/>
  <c r="L49" i="56"/>
  <c r="N49" i="56"/>
  <c r="O49" i="56" s="1"/>
  <c r="L47" i="56"/>
  <c r="N47" i="56"/>
  <c r="O47" i="56" s="1"/>
  <c r="L52" i="56"/>
  <c r="N52" i="56"/>
  <c r="O52" i="56" s="1"/>
  <c r="L55" i="56"/>
  <c r="N55" i="56"/>
  <c r="O55" i="56" s="1"/>
  <c r="N42" i="56"/>
  <c r="O42" i="56" s="1"/>
  <c r="D45" i="43"/>
  <c r="G63" i="57"/>
  <c r="G58" i="57"/>
  <c r="M58" i="57" s="1"/>
  <c r="N58" i="57" s="1"/>
  <c r="G41" i="57"/>
  <c r="M41" i="57" s="1"/>
  <c r="G51" i="57"/>
  <c r="M51" i="57" s="1"/>
  <c r="G47" i="57"/>
  <c r="M47" i="57" s="1"/>
  <c r="G52" i="57"/>
  <c r="M52" i="57" s="1"/>
  <c r="L42" i="56"/>
  <c r="K53" i="58"/>
  <c r="G42" i="57"/>
  <c r="M42" i="57" s="1"/>
  <c r="M64" i="56"/>
  <c r="O144" i="53"/>
  <c r="F73" i="35" s="1"/>
  <c r="O146" i="53"/>
  <c r="O147" i="53" s="1"/>
  <c r="O149" i="53" s="1"/>
  <c r="G60" i="57"/>
  <c r="M60" i="57" s="1"/>
  <c r="G53" i="57"/>
  <c r="M53" i="57" s="1"/>
  <c r="N53" i="57" s="1"/>
  <c r="M37" i="55"/>
  <c r="H15" i="35" s="1"/>
  <c r="K49" i="58"/>
  <c r="O65" i="56"/>
  <c r="L65" i="56"/>
  <c r="G65" i="57"/>
  <c r="M65" i="57" s="1"/>
  <c r="K48" i="58"/>
  <c r="G49" i="58"/>
  <c r="M49" i="58" s="1"/>
  <c r="K39" i="59"/>
  <c r="G50" i="57"/>
  <c r="M50" i="57" s="1"/>
  <c r="G54" i="57"/>
  <c r="M54" i="57" s="1"/>
  <c r="E67" i="35"/>
  <c r="M61" i="56"/>
  <c r="N61" i="56" s="1"/>
  <c r="G61" i="57"/>
  <c r="L61" i="55"/>
  <c r="O61" i="55"/>
  <c r="O146" i="30"/>
  <c r="G55" i="57"/>
  <c r="M55" i="57" s="1"/>
  <c r="M116" i="54"/>
  <c r="G146" i="35" s="1"/>
  <c r="K41" i="58"/>
  <c r="K46" i="57"/>
  <c r="G46" i="57"/>
  <c r="N37" i="54"/>
  <c r="G16" i="35" s="1"/>
  <c r="G14" i="35" s="1"/>
  <c r="K40" i="57"/>
  <c r="G40" i="58"/>
  <c r="O43" i="57"/>
  <c r="L43" i="57"/>
  <c r="K43" i="58"/>
  <c r="G43" i="58"/>
  <c r="M43" i="58" s="1"/>
  <c r="N43" i="58" s="1"/>
  <c r="O53" i="56"/>
  <c r="L53" i="56"/>
  <c r="L59" i="56"/>
  <c r="O59" i="56"/>
  <c r="G59" i="57"/>
  <c r="M59" i="57" s="1"/>
  <c r="N59" i="57" s="1"/>
  <c r="K59" i="57"/>
  <c r="K58" i="59"/>
  <c r="O46" i="56"/>
  <c r="L46" i="56"/>
  <c r="M105" i="54"/>
  <c r="G102" i="35" s="1"/>
  <c r="M40" i="57"/>
  <c r="N40" i="57" s="1"/>
  <c r="M114" i="54"/>
  <c r="G138" i="35" s="1"/>
  <c r="M64" i="57"/>
  <c r="N64" i="57" s="1"/>
  <c r="G64" i="58"/>
  <c r="O40" i="56"/>
  <c r="L40" i="56"/>
  <c r="M112" i="54"/>
  <c r="N112" i="54" s="1"/>
  <c r="K52" i="58"/>
  <c r="M102" i="54"/>
  <c r="N102" i="54" s="1"/>
  <c r="K61" i="59"/>
  <c r="K54" i="58"/>
  <c r="M103" i="54"/>
  <c r="N103" i="54" s="1"/>
  <c r="K56" i="59"/>
  <c r="M109" i="54"/>
  <c r="N109" i="54" s="1"/>
  <c r="M111" i="54"/>
  <c r="N111" i="54" s="1"/>
  <c r="M107" i="54"/>
  <c r="G110" i="35" s="1"/>
  <c r="M117" i="54"/>
  <c r="N117" i="54" s="1"/>
  <c r="M63" i="57"/>
  <c r="N63" i="57" s="1"/>
  <c r="G63" i="58"/>
  <c r="K45" i="59"/>
  <c r="O63" i="56"/>
  <c r="L63" i="56"/>
  <c r="O48" i="56"/>
  <c r="L48" i="56"/>
  <c r="M45" i="56"/>
  <c r="N45" i="56" s="1"/>
  <c r="G45" i="57"/>
  <c r="O37" i="54"/>
  <c r="O155" i="54" s="1"/>
  <c r="O146" i="54" s="1"/>
  <c r="G48" i="58"/>
  <c r="M48" i="57"/>
  <c r="N48" i="57" s="1"/>
  <c r="L45" i="55"/>
  <c r="M108" i="54"/>
  <c r="G114" i="35" s="1"/>
  <c r="O58" i="56"/>
  <c r="L58" i="56"/>
  <c r="M62" i="57"/>
  <c r="N62" i="57" s="1"/>
  <c r="G62" i="58"/>
  <c r="M119" i="54"/>
  <c r="N119" i="54" s="1"/>
  <c r="O62" i="56"/>
  <c r="L62" i="56"/>
  <c r="M110" i="54"/>
  <c r="G122" i="35" s="1"/>
  <c r="K62" i="60"/>
  <c r="K64" i="60"/>
  <c r="K49" i="59"/>
  <c r="M118" i="54"/>
  <c r="K57" i="57"/>
  <c r="G57" i="57"/>
  <c r="M57" i="57" s="1"/>
  <c r="N57" i="57" s="1"/>
  <c r="K55" i="58"/>
  <c r="K47" i="58"/>
  <c r="L7" i="55"/>
  <c r="G123" i="55"/>
  <c r="L57" i="56"/>
  <c r="O57" i="56"/>
  <c r="K60" i="59"/>
  <c r="M106" i="54"/>
  <c r="M113" i="54"/>
  <c r="M101" i="54"/>
  <c r="K50" i="58"/>
  <c r="L39" i="57"/>
  <c r="O39" i="57"/>
  <c r="G39" i="59"/>
  <c r="M39" i="58"/>
  <c r="N39" i="58" s="1"/>
  <c r="O44" i="56"/>
  <c r="L44" i="56"/>
  <c r="M115" i="54"/>
  <c r="K63" i="61"/>
  <c r="K51" i="58"/>
  <c r="M56" i="57"/>
  <c r="N56" i="57" s="1"/>
  <c r="G56" i="58"/>
  <c r="K65" i="59"/>
  <c r="K42" i="60"/>
  <c r="K44" i="57"/>
  <c r="G44" i="57"/>
  <c r="M44" i="57" s="1"/>
  <c r="N44" i="57" s="1"/>
  <c r="L56" i="56"/>
  <c r="M104" i="54"/>
  <c r="M120" i="54"/>
  <c r="L121" i="56" l="1"/>
  <c r="K101" i="60"/>
  <c r="K101" i="61" s="1"/>
  <c r="L101" i="61" s="1"/>
  <c r="N85" i="35" s="1"/>
  <c r="L84" i="35"/>
  <c r="K84" i="35"/>
  <c r="K121" i="59"/>
  <c r="L101" i="58"/>
  <c r="K85" i="35" s="1"/>
  <c r="K121" i="58"/>
  <c r="J84" i="35"/>
  <c r="K121" i="57"/>
  <c r="L101" i="57"/>
  <c r="L121" i="57" s="1"/>
  <c r="M84" i="35"/>
  <c r="L85" i="35"/>
  <c r="L121" i="59"/>
  <c r="G58" i="58"/>
  <c r="L41" i="57"/>
  <c r="N41" i="57"/>
  <c r="O41" i="57" s="1"/>
  <c r="L51" i="57"/>
  <c r="N51" i="57"/>
  <c r="O51" i="57" s="1"/>
  <c r="N60" i="57"/>
  <c r="O60" i="57" s="1"/>
  <c r="L54" i="57"/>
  <c r="N54" i="57"/>
  <c r="O54" i="57" s="1"/>
  <c r="L50" i="57"/>
  <c r="N50" i="57"/>
  <c r="O50" i="57" s="1"/>
  <c r="L64" i="56"/>
  <c r="N64" i="56"/>
  <c r="O64" i="56" s="1"/>
  <c r="N52" i="57"/>
  <c r="O52" i="57" s="1"/>
  <c r="N47" i="57"/>
  <c r="O47" i="57" s="1"/>
  <c r="L42" i="57"/>
  <c r="N42" i="57"/>
  <c r="O42" i="57" s="1"/>
  <c r="N49" i="58"/>
  <c r="O49" i="58" s="1"/>
  <c r="L55" i="57"/>
  <c r="N55" i="57"/>
  <c r="O55" i="57" s="1"/>
  <c r="L65" i="57"/>
  <c r="N65" i="57"/>
  <c r="O65" i="57" s="1"/>
  <c r="G41" i="58"/>
  <c r="M41" i="58" s="1"/>
  <c r="N41" i="58" s="1"/>
  <c r="L52" i="57"/>
  <c r="G52" i="58"/>
  <c r="M52" i="58" s="1"/>
  <c r="N52" i="58" s="1"/>
  <c r="G51" i="58"/>
  <c r="M51" i="58" s="1"/>
  <c r="N51" i="58" s="1"/>
  <c r="O51" i="58" s="1"/>
  <c r="G65" i="58"/>
  <c r="M65" i="58" s="1"/>
  <c r="L47" i="57"/>
  <c r="G47" i="58"/>
  <c r="M47" i="58" s="1"/>
  <c r="F69" i="35"/>
  <c r="K53" i="59"/>
  <c r="G60" i="58"/>
  <c r="M60" i="58" s="1"/>
  <c r="L60" i="57"/>
  <c r="G42" i="58"/>
  <c r="M42" i="58" s="1"/>
  <c r="G53" i="58"/>
  <c r="M53" i="58" s="1"/>
  <c r="N53" i="58" s="1"/>
  <c r="L49" i="58"/>
  <c r="G50" i="58"/>
  <c r="M50" i="58" s="1"/>
  <c r="K48" i="59"/>
  <c r="G49" i="59"/>
  <c r="M49" i="59" s="1"/>
  <c r="K39" i="60"/>
  <c r="K39" i="61"/>
  <c r="G130" i="35"/>
  <c r="G65" i="59"/>
  <c r="M65" i="59" s="1"/>
  <c r="N37" i="55"/>
  <c r="H16" i="35" s="1"/>
  <c r="H14" i="35" s="1"/>
  <c r="G55" i="58"/>
  <c r="M55" i="58" s="1"/>
  <c r="N107" i="54"/>
  <c r="O61" i="56"/>
  <c r="L61" i="56"/>
  <c r="M61" i="57"/>
  <c r="N61" i="57" s="1"/>
  <c r="G61" i="58"/>
  <c r="M37" i="56"/>
  <c r="I15" i="35" s="1"/>
  <c r="G54" i="58"/>
  <c r="M54" i="58" s="1"/>
  <c r="N116" i="54"/>
  <c r="O147" i="30"/>
  <c r="O149" i="30" s="1"/>
  <c r="D39" i="46" s="1"/>
  <c r="E69" i="35"/>
  <c r="N110" i="54"/>
  <c r="G67" i="35"/>
  <c r="O144" i="54"/>
  <c r="G73" i="35" s="1"/>
  <c r="G126" i="35"/>
  <c r="K41" i="59"/>
  <c r="L53" i="57"/>
  <c r="O53" i="57"/>
  <c r="L43" i="58"/>
  <c r="O43" i="58"/>
  <c r="G43" i="59"/>
  <c r="M43" i="59" s="1"/>
  <c r="N43" i="59" s="1"/>
  <c r="K43" i="59"/>
  <c r="N105" i="54"/>
  <c r="N108" i="54"/>
  <c r="K58" i="60"/>
  <c r="K58" i="61"/>
  <c r="K40" i="58"/>
  <c r="G118" i="35"/>
  <c r="K59" i="58"/>
  <c r="G59" i="58"/>
  <c r="M59" i="58" s="1"/>
  <c r="N59" i="58" s="1"/>
  <c r="N114" i="54"/>
  <c r="G158" i="35"/>
  <c r="K46" i="58"/>
  <c r="G94" i="35"/>
  <c r="L59" i="57"/>
  <c r="O59" i="57"/>
  <c r="G150" i="35"/>
  <c r="G46" i="58"/>
  <c r="M46" i="58" s="1"/>
  <c r="N46" i="58" s="1"/>
  <c r="M46" i="57"/>
  <c r="N46" i="57" s="1"/>
  <c r="L45" i="56"/>
  <c r="O45" i="56"/>
  <c r="K56" i="61"/>
  <c r="K56" i="60"/>
  <c r="M63" i="58"/>
  <c r="N63" i="58" s="1"/>
  <c r="G63" i="59"/>
  <c r="G90" i="35"/>
  <c r="M45" i="57"/>
  <c r="N45" i="57" s="1"/>
  <c r="G45" i="58"/>
  <c r="L48" i="57"/>
  <c r="O48" i="57"/>
  <c r="M62" i="58"/>
  <c r="N62" i="58" s="1"/>
  <c r="G62" i="59"/>
  <c r="O62" i="57"/>
  <c r="L62" i="57"/>
  <c r="K54" i="59"/>
  <c r="K61" i="60"/>
  <c r="O45" i="55"/>
  <c r="O37" i="55" s="1"/>
  <c r="O155" i="55" s="1"/>
  <c r="O146" i="55" s="1"/>
  <c r="O147" i="55" s="1"/>
  <c r="K45" i="60"/>
  <c r="M64" i="58"/>
  <c r="N64" i="58" s="1"/>
  <c r="G64" i="59"/>
  <c r="L64" i="57"/>
  <c r="O64" i="57"/>
  <c r="M48" i="58"/>
  <c r="N48" i="58" s="1"/>
  <c r="G48" i="59"/>
  <c r="M58" i="58"/>
  <c r="N58" i="58" s="1"/>
  <c r="G58" i="59"/>
  <c r="K52" i="59"/>
  <c r="G52" i="59"/>
  <c r="M52" i="59" s="1"/>
  <c r="N52" i="59" s="1"/>
  <c r="L58" i="57"/>
  <c r="O58" i="57"/>
  <c r="M40" i="58"/>
  <c r="N40" i="58" s="1"/>
  <c r="L63" i="57"/>
  <c r="O63" i="57"/>
  <c r="O40" i="57"/>
  <c r="L40" i="57"/>
  <c r="G57" i="58"/>
  <c r="M57" i="58" s="1"/>
  <c r="N57" i="58" s="1"/>
  <c r="K57" i="58"/>
  <c r="L51" i="58"/>
  <c r="G39" i="60"/>
  <c r="M39" i="59"/>
  <c r="N39" i="59" s="1"/>
  <c r="K64" i="61"/>
  <c r="G51" i="59"/>
  <c r="M51" i="59" s="1"/>
  <c r="N51" i="59" s="1"/>
  <c r="K51" i="59"/>
  <c r="O56" i="56"/>
  <c r="G86" i="35"/>
  <c r="M121" i="54"/>
  <c r="N101" i="54"/>
  <c r="K62" i="61"/>
  <c r="O148" i="53"/>
  <c r="O150" i="53" s="1"/>
  <c r="O156" i="53" s="1"/>
  <c r="G154" i="35"/>
  <c r="N118" i="54"/>
  <c r="L44" i="57"/>
  <c r="K60" i="60"/>
  <c r="K55" i="59"/>
  <c r="K49" i="60"/>
  <c r="M147" i="55"/>
  <c r="M148" i="55"/>
  <c r="G69" i="35"/>
  <c r="O147" i="54"/>
  <c r="O149" i="54" s="1"/>
  <c r="G134" i="35"/>
  <c r="N113" i="54"/>
  <c r="G142" i="35"/>
  <c r="N115" i="54"/>
  <c r="G162" i="35"/>
  <c r="N120" i="54"/>
  <c r="K42" i="61"/>
  <c r="M56" i="58"/>
  <c r="N56" i="58" s="1"/>
  <c r="G56" i="59"/>
  <c r="L5" i="56"/>
  <c r="K44" i="58"/>
  <c r="G44" i="58"/>
  <c r="M44" i="58" s="1"/>
  <c r="N44" i="58" s="1"/>
  <c r="K65" i="60"/>
  <c r="N104" i="54"/>
  <c r="G98" i="35"/>
  <c r="L56" i="57"/>
  <c r="O56" i="57"/>
  <c r="K47" i="59"/>
  <c r="K50" i="59"/>
  <c r="N106" i="54"/>
  <c r="G106" i="35"/>
  <c r="L57" i="57"/>
  <c r="O57" i="57"/>
  <c r="L39" i="58"/>
  <c r="O39" i="58"/>
  <c r="L101" i="60" l="1"/>
  <c r="M85" i="35" s="1"/>
  <c r="K121" i="60"/>
  <c r="N84" i="35"/>
  <c r="K121" i="61"/>
  <c r="L121" i="61"/>
  <c r="J85" i="35"/>
  <c r="L121" i="58"/>
  <c r="G41" i="59"/>
  <c r="M41" i="59" s="1"/>
  <c r="N41" i="59" s="1"/>
  <c r="O41" i="59" s="1"/>
  <c r="L52" i="58"/>
  <c r="L54" i="58"/>
  <c r="N54" i="58"/>
  <c r="O54" i="58" s="1"/>
  <c r="L50" i="58"/>
  <c r="N50" i="58"/>
  <c r="N55" i="58"/>
  <c r="O55" i="58" s="1"/>
  <c r="L42" i="58"/>
  <c r="N42" i="58"/>
  <c r="O42" i="58" s="1"/>
  <c r="N65" i="59"/>
  <c r="O65" i="59" s="1"/>
  <c r="N60" i="58"/>
  <c r="O60" i="58" s="1"/>
  <c r="L41" i="58"/>
  <c r="O41" i="58"/>
  <c r="L65" i="58"/>
  <c r="N65" i="58"/>
  <c r="O65" i="58" s="1"/>
  <c r="O52" i="58"/>
  <c r="L49" i="59"/>
  <c r="N49" i="59"/>
  <c r="O49" i="59" s="1"/>
  <c r="N47" i="58"/>
  <c r="O47" i="58" s="1"/>
  <c r="L47" i="58"/>
  <c r="G47" i="59"/>
  <c r="M47" i="59" s="1"/>
  <c r="N47" i="59" s="1"/>
  <c r="L60" i="58"/>
  <c r="G60" i="59"/>
  <c r="K53" i="61"/>
  <c r="K53" i="60"/>
  <c r="L65" i="59"/>
  <c r="G65" i="60"/>
  <c r="M65" i="60" s="1"/>
  <c r="G42" i="59"/>
  <c r="G42" i="60" s="1"/>
  <c r="G53" i="59"/>
  <c r="G53" i="60" s="1"/>
  <c r="G50" i="59"/>
  <c r="M50" i="59" s="1"/>
  <c r="O50" i="58"/>
  <c r="G49" i="60"/>
  <c r="M49" i="60" s="1"/>
  <c r="L55" i="58"/>
  <c r="K48" i="60"/>
  <c r="K48" i="61"/>
  <c r="G55" i="59"/>
  <c r="M55" i="59" s="1"/>
  <c r="G54" i="59"/>
  <c r="M54" i="59" s="1"/>
  <c r="M61" i="58"/>
  <c r="N61" i="58" s="1"/>
  <c r="G61" i="59"/>
  <c r="O61" i="57"/>
  <c r="L61" i="57"/>
  <c r="M118" i="55"/>
  <c r="H154" i="35" s="1"/>
  <c r="O37" i="56"/>
  <c r="O155" i="56" s="1"/>
  <c r="O146" i="56" s="1"/>
  <c r="O148" i="30"/>
  <c r="O150" i="30" s="1"/>
  <c r="O156" i="30" s="1"/>
  <c r="M120" i="55"/>
  <c r="N120" i="55" s="1"/>
  <c r="H67" i="35"/>
  <c r="O144" i="55"/>
  <c r="H73" i="35" s="1"/>
  <c r="M37" i="57"/>
  <c r="J15" i="35" s="1"/>
  <c r="M113" i="55"/>
  <c r="H134" i="35" s="1"/>
  <c r="K41" i="61"/>
  <c r="K41" i="60"/>
  <c r="G41" i="60"/>
  <c r="M41" i="60" s="1"/>
  <c r="N41" i="60" s="1"/>
  <c r="K40" i="59"/>
  <c r="L46" i="57"/>
  <c r="O46" i="57"/>
  <c r="L46" i="58"/>
  <c r="O46" i="58"/>
  <c r="K43" i="60"/>
  <c r="G43" i="60"/>
  <c r="M43" i="60" s="1"/>
  <c r="N43" i="60" s="1"/>
  <c r="O43" i="59"/>
  <c r="L43" i="59"/>
  <c r="G59" i="59"/>
  <c r="M59" i="59" s="1"/>
  <c r="N59" i="59" s="1"/>
  <c r="K59" i="59"/>
  <c r="O59" i="58"/>
  <c r="L59" i="58"/>
  <c r="L53" i="58"/>
  <c r="O53" i="58"/>
  <c r="K46" i="59"/>
  <c r="G46" i="59"/>
  <c r="M46" i="59" s="1"/>
  <c r="N46" i="59" s="1"/>
  <c r="G40" i="59"/>
  <c r="M40" i="59" s="1"/>
  <c r="N40" i="59" s="1"/>
  <c r="O58" i="58"/>
  <c r="L58" i="58"/>
  <c r="M45" i="58"/>
  <c r="N45" i="58" s="1"/>
  <c r="G45" i="59"/>
  <c r="G48" i="60"/>
  <c r="M48" i="59"/>
  <c r="N48" i="59" s="1"/>
  <c r="O45" i="57"/>
  <c r="L45" i="57"/>
  <c r="L48" i="58"/>
  <c r="O48" i="58"/>
  <c r="K54" i="60"/>
  <c r="O44" i="57"/>
  <c r="K45" i="61"/>
  <c r="N37" i="56"/>
  <c r="I16" i="35" s="1"/>
  <c r="I14" i="35" s="1"/>
  <c r="O14" i="35" s="1"/>
  <c r="M63" i="59"/>
  <c r="N63" i="59" s="1"/>
  <c r="G63" i="60"/>
  <c r="M64" i="59"/>
  <c r="N64" i="59" s="1"/>
  <c r="G64" i="60"/>
  <c r="O63" i="58"/>
  <c r="L63" i="58"/>
  <c r="L64" i="58"/>
  <c r="O64" i="58"/>
  <c r="M62" i="59"/>
  <c r="N62" i="59" s="1"/>
  <c r="G62" i="60"/>
  <c r="O40" i="58"/>
  <c r="L40" i="58"/>
  <c r="O62" i="58"/>
  <c r="L62" i="58"/>
  <c r="K61" i="61"/>
  <c r="L52" i="59"/>
  <c r="O52" i="59"/>
  <c r="O149" i="55"/>
  <c r="K52" i="60"/>
  <c r="G52" i="60"/>
  <c r="M52" i="60" s="1"/>
  <c r="N52" i="60" s="1"/>
  <c r="L41" i="59"/>
  <c r="M58" i="59"/>
  <c r="N58" i="59" s="1"/>
  <c r="G58" i="60"/>
  <c r="K44" i="59"/>
  <c r="G44" i="59"/>
  <c r="M44" i="59" s="1"/>
  <c r="N44" i="59" s="1"/>
  <c r="M114" i="55"/>
  <c r="F68" i="35"/>
  <c r="F66" i="35" s="1"/>
  <c r="O157" i="53"/>
  <c r="O158" i="53" s="1"/>
  <c r="O44" i="58"/>
  <c r="L44" i="58"/>
  <c r="M102" i="55"/>
  <c r="G51" i="60"/>
  <c r="M51" i="60" s="1"/>
  <c r="N51" i="60" s="1"/>
  <c r="K51" i="60"/>
  <c r="O57" i="58"/>
  <c r="L57" i="58"/>
  <c r="M107" i="55"/>
  <c r="M56" i="59"/>
  <c r="N56" i="59" s="1"/>
  <c r="G56" i="60"/>
  <c r="O51" i="59"/>
  <c r="L51" i="59"/>
  <c r="M104" i="55"/>
  <c r="O56" i="58"/>
  <c r="L56" i="58"/>
  <c r="O148" i="55"/>
  <c r="O150" i="55" s="1"/>
  <c r="H69" i="35"/>
  <c r="M109" i="55"/>
  <c r="K47" i="60"/>
  <c r="G47" i="60"/>
  <c r="M47" i="60" s="1"/>
  <c r="N47" i="60" s="1"/>
  <c r="M101" i="55"/>
  <c r="O39" i="59"/>
  <c r="L39" i="59"/>
  <c r="M110" i="55"/>
  <c r="L7" i="56"/>
  <c r="G123" i="56"/>
  <c r="G39" i="61"/>
  <c r="M39" i="61" s="1"/>
  <c r="N39" i="61" s="1"/>
  <c r="M39" i="60"/>
  <c r="N39" i="60" s="1"/>
  <c r="L47" i="59"/>
  <c r="M116" i="55"/>
  <c r="M112" i="55"/>
  <c r="K50" i="60"/>
  <c r="M119" i="55"/>
  <c r="M111" i="55"/>
  <c r="K55" i="60"/>
  <c r="M108" i="55"/>
  <c r="M106" i="55"/>
  <c r="K49" i="61"/>
  <c r="M117" i="55"/>
  <c r="M105" i="55"/>
  <c r="K60" i="61"/>
  <c r="K65" i="61"/>
  <c r="M103" i="55"/>
  <c r="M115" i="55"/>
  <c r="O148" i="54"/>
  <c r="O150" i="54" s="1"/>
  <c r="O156" i="54" s="1"/>
  <c r="G57" i="59"/>
  <c r="M57" i="59" s="1"/>
  <c r="N57" i="59" s="1"/>
  <c r="K57" i="59"/>
  <c r="L121" i="60" l="1"/>
  <c r="L54" i="59"/>
  <c r="N54" i="59"/>
  <c r="O54" i="59" s="1"/>
  <c r="L55" i="59"/>
  <c r="N55" i="59"/>
  <c r="O55" i="59" s="1"/>
  <c r="N65" i="60"/>
  <c r="O65" i="60" s="1"/>
  <c r="O47" i="59"/>
  <c r="L49" i="60"/>
  <c r="N49" i="60"/>
  <c r="O49" i="60" s="1"/>
  <c r="N50" i="59"/>
  <c r="O50" i="59" s="1"/>
  <c r="G65" i="61"/>
  <c r="M65" i="61" s="1"/>
  <c r="G55" i="60"/>
  <c r="M55" i="60" s="1"/>
  <c r="G50" i="60"/>
  <c r="M50" i="60" s="1"/>
  <c r="L65" i="60"/>
  <c r="M42" i="59"/>
  <c r="M60" i="59"/>
  <c r="N60" i="59" s="1"/>
  <c r="G60" i="60"/>
  <c r="L50" i="59"/>
  <c r="M53" i="59"/>
  <c r="G49" i="61"/>
  <c r="M49" i="61" s="1"/>
  <c r="G54" i="60"/>
  <c r="M54" i="60" s="1"/>
  <c r="G41" i="61"/>
  <c r="M41" i="61" s="1"/>
  <c r="M37" i="58"/>
  <c r="K15" i="35" s="1"/>
  <c r="M42" i="60"/>
  <c r="N42" i="60" s="1"/>
  <c r="G42" i="61"/>
  <c r="M42" i="61" s="1"/>
  <c r="N42" i="61" s="1"/>
  <c r="O144" i="56"/>
  <c r="I73" i="35" s="1"/>
  <c r="I67" i="35"/>
  <c r="H162" i="35"/>
  <c r="N118" i="55"/>
  <c r="M61" i="59"/>
  <c r="N61" i="59" s="1"/>
  <c r="G61" i="60"/>
  <c r="G40" i="60"/>
  <c r="M40" i="60" s="1"/>
  <c r="N40" i="60" s="1"/>
  <c r="L61" i="58"/>
  <c r="O61" i="58"/>
  <c r="N113" i="55"/>
  <c r="O157" i="30"/>
  <c r="O158" i="30" s="1"/>
  <c r="E68" i="35"/>
  <c r="E66" i="35" s="1"/>
  <c r="G59" i="60"/>
  <c r="M59" i="60" s="1"/>
  <c r="N59" i="60" s="1"/>
  <c r="K59" i="60"/>
  <c r="L59" i="59"/>
  <c r="O59" i="59"/>
  <c r="L43" i="60"/>
  <c r="O43" i="60"/>
  <c r="K46" i="60"/>
  <c r="G46" i="60"/>
  <c r="M46" i="60" s="1"/>
  <c r="N46" i="60" s="1"/>
  <c r="K43" i="61"/>
  <c r="G43" i="61"/>
  <c r="M43" i="61" s="1"/>
  <c r="N43" i="61" s="1"/>
  <c r="O46" i="59"/>
  <c r="L46" i="59"/>
  <c r="M53" i="60"/>
  <c r="N53" i="60" s="1"/>
  <c r="G53" i="61"/>
  <c r="M53" i="61" s="1"/>
  <c r="N53" i="61" s="1"/>
  <c r="O37" i="57"/>
  <c r="O155" i="57" s="1"/>
  <c r="O144" i="57" s="1"/>
  <c r="J73" i="35" s="1"/>
  <c r="K40" i="61"/>
  <c r="K40" i="60"/>
  <c r="M64" i="60"/>
  <c r="N64" i="60" s="1"/>
  <c r="G64" i="61"/>
  <c r="M64" i="61" s="1"/>
  <c r="N64" i="61" s="1"/>
  <c r="M58" i="60"/>
  <c r="N58" i="60" s="1"/>
  <c r="G58" i="61"/>
  <c r="M58" i="61" s="1"/>
  <c r="N58" i="61" s="1"/>
  <c r="M62" i="60"/>
  <c r="N62" i="60" s="1"/>
  <c r="G62" i="61"/>
  <c r="M62" i="61" s="1"/>
  <c r="N62" i="61" s="1"/>
  <c r="O62" i="59"/>
  <c r="L62" i="59"/>
  <c r="K54" i="61"/>
  <c r="M63" i="60"/>
  <c r="N63" i="60" s="1"/>
  <c r="G63" i="61"/>
  <c r="M63" i="61" s="1"/>
  <c r="N63" i="61" s="1"/>
  <c r="O41" i="60"/>
  <c r="L41" i="60"/>
  <c r="L40" i="59"/>
  <c r="O40" i="59"/>
  <c r="O48" i="59"/>
  <c r="L48" i="59"/>
  <c r="L64" i="59"/>
  <c r="O64" i="59"/>
  <c r="M45" i="59"/>
  <c r="N45" i="59" s="1"/>
  <c r="G45" i="60"/>
  <c r="L52" i="60"/>
  <c r="O52" i="60"/>
  <c r="L45" i="58"/>
  <c r="O45" i="58"/>
  <c r="O63" i="59"/>
  <c r="L63" i="59"/>
  <c r="O58" i="59"/>
  <c r="L58" i="59"/>
  <c r="G48" i="61"/>
  <c r="M48" i="61" s="1"/>
  <c r="N48" i="61" s="1"/>
  <c r="M48" i="60"/>
  <c r="N48" i="60" s="1"/>
  <c r="O156" i="55"/>
  <c r="H68" i="35" s="1"/>
  <c r="H66" i="35" s="1"/>
  <c r="K52" i="61"/>
  <c r="G52" i="61"/>
  <c r="M52" i="61" s="1"/>
  <c r="N52" i="61" s="1"/>
  <c r="N37" i="57"/>
  <c r="J16" i="35" s="1"/>
  <c r="J14" i="35" s="1"/>
  <c r="H90" i="35"/>
  <c r="N102" i="55"/>
  <c r="N103" i="55"/>
  <c r="H94" i="35"/>
  <c r="H86" i="35"/>
  <c r="N101" i="55"/>
  <c r="M121" i="55"/>
  <c r="K50" i="61"/>
  <c r="M147" i="56"/>
  <c r="M148" i="56"/>
  <c r="O147" i="56"/>
  <c r="O148" i="56" s="1"/>
  <c r="L5" i="57"/>
  <c r="O39" i="61"/>
  <c r="L39" i="61"/>
  <c r="N110" i="55"/>
  <c r="H122" i="35"/>
  <c r="H106" i="35"/>
  <c r="N106" i="55"/>
  <c r="H158" i="35"/>
  <c r="N119" i="55"/>
  <c r="K47" i="61"/>
  <c r="G47" i="61"/>
  <c r="M47" i="61" s="1"/>
  <c r="N47" i="61" s="1"/>
  <c r="F157" i="53"/>
  <c r="F71" i="35" s="1"/>
  <c r="F75" i="35"/>
  <c r="L57" i="59"/>
  <c r="O57" i="59"/>
  <c r="H130" i="35"/>
  <c r="N112" i="55"/>
  <c r="H98" i="35"/>
  <c r="N104" i="55"/>
  <c r="N108" i="55"/>
  <c r="H114" i="35"/>
  <c r="K55" i="61"/>
  <c r="G68" i="35"/>
  <c r="O157" i="54"/>
  <c r="O158" i="54" s="1"/>
  <c r="O44" i="59"/>
  <c r="L44" i="59"/>
  <c r="N107" i="55"/>
  <c r="H110" i="35"/>
  <c r="H118" i="35"/>
  <c r="N109" i="55"/>
  <c r="H138" i="35"/>
  <c r="N114" i="55"/>
  <c r="H102" i="35"/>
  <c r="N105" i="55"/>
  <c r="H150" i="35"/>
  <c r="N117" i="55"/>
  <c r="M56" i="60"/>
  <c r="N56" i="60" s="1"/>
  <c r="G56" i="61"/>
  <c r="M56" i="61" s="1"/>
  <c r="N56" i="61" s="1"/>
  <c r="K44" i="60"/>
  <c r="G44" i="60"/>
  <c r="M44" i="60" s="1"/>
  <c r="N44" i="60" s="1"/>
  <c r="G57" i="60"/>
  <c r="M57" i="60" s="1"/>
  <c r="N57" i="60" s="1"/>
  <c r="K57" i="60"/>
  <c r="O56" i="59"/>
  <c r="L56" i="59"/>
  <c r="G51" i="61"/>
  <c r="M51" i="61" s="1"/>
  <c r="N51" i="61" s="1"/>
  <c r="K51" i="61"/>
  <c r="L47" i="60"/>
  <c r="O47" i="60"/>
  <c r="H146" i="35"/>
  <c r="N116" i="55"/>
  <c r="H142" i="35"/>
  <c r="N115" i="55"/>
  <c r="H126" i="35"/>
  <c r="N111" i="55"/>
  <c r="L39" i="60"/>
  <c r="I69" i="35"/>
  <c r="O51" i="60"/>
  <c r="L51" i="60"/>
  <c r="G55" i="61" l="1"/>
  <c r="M55" i="61" s="1"/>
  <c r="N55" i="61" s="1"/>
  <c r="N55" i="60"/>
  <c r="O55" i="60" s="1"/>
  <c r="N65" i="61"/>
  <c r="O65" i="61" s="1"/>
  <c r="L42" i="59"/>
  <c r="N42" i="59"/>
  <c r="O42" i="59" s="1"/>
  <c r="L41" i="61"/>
  <c r="N41" i="61"/>
  <c r="O41" i="61" s="1"/>
  <c r="N54" i="60"/>
  <c r="O54" i="60" s="1"/>
  <c r="L49" i="61"/>
  <c r="N49" i="61"/>
  <c r="O49" i="61" s="1"/>
  <c r="L53" i="59"/>
  <c r="N53" i="59"/>
  <c r="O53" i="59" s="1"/>
  <c r="L50" i="60"/>
  <c r="N50" i="60"/>
  <c r="O50" i="60" s="1"/>
  <c r="L65" i="61"/>
  <c r="L55" i="60"/>
  <c r="G50" i="61"/>
  <c r="M50" i="61" s="1"/>
  <c r="N50" i="61" s="1"/>
  <c r="O50" i="61" s="1"/>
  <c r="M60" i="60"/>
  <c r="N60" i="60" s="1"/>
  <c r="G60" i="61"/>
  <c r="M60" i="61" s="1"/>
  <c r="N60" i="61" s="1"/>
  <c r="L60" i="59"/>
  <c r="O60" i="59"/>
  <c r="G54" i="61"/>
  <c r="M54" i="61" s="1"/>
  <c r="L54" i="60"/>
  <c r="L42" i="61"/>
  <c r="O42" i="61"/>
  <c r="L42" i="60"/>
  <c r="O42" i="60"/>
  <c r="M37" i="59"/>
  <c r="L15" i="35" s="1"/>
  <c r="O37" i="58"/>
  <c r="O155" i="58" s="1"/>
  <c r="K67" i="35" s="1"/>
  <c r="M61" i="60"/>
  <c r="N61" i="60" s="1"/>
  <c r="G61" i="61"/>
  <c r="M61" i="61" s="1"/>
  <c r="N61" i="61" s="1"/>
  <c r="G40" i="61"/>
  <c r="M40" i="61" s="1"/>
  <c r="O61" i="59"/>
  <c r="L61" i="59"/>
  <c r="J67" i="35"/>
  <c r="O146" i="57"/>
  <c r="J69" i="35" s="1"/>
  <c r="E75" i="35"/>
  <c r="F157" i="30"/>
  <c r="E71" i="35" s="1"/>
  <c r="M107" i="56"/>
  <c r="I110" i="35" s="1"/>
  <c r="O110" i="35" s="1"/>
  <c r="D63" i="46" s="1"/>
  <c r="L53" i="60"/>
  <c r="O53" i="60"/>
  <c r="N37" i="58"/>
  <c r="K16" i="35" s="1"/>
  <c r="K14" i="35" s="1"/>
  <c r="O53" i="61"/>
  <c r="L53" i="61"/>
  <c r="L46" i="60"/>
  <c r="O46" i="60"/>
  <c r="K46" i="61"/>
  <c r="G46" i="61"/>
  <c r="M46" i="61" s="1"/>
  <c r="N46" i="61" s="1"/>
  <c r="O59" i="60"/>
  <c r="L59" i="60"/>
  <c r="O43" i="61"/>
  <c r="L43" i="61"/>
  <c r="K59" i="61"/>
  <c r="G59" i="61"/>
  <c r="M59" i="61" s="1"/>
  <c r="N59" i="61" s="1"/>
  <c r="L52" i="61"/>
  <c r="O52" i="61"/>
  <c r="L48" i="61"/>
  <c r="O48" i="61"/>
  <c r="O62" i="61"/>
  <c r="L62" i="61"/>
  <c r="O62" i="60"/>
  <c r="L62" i="60"/>
  <c r="O63" i="61"/>
  <c r="L63" i="61"/>
  <c r="L64" i="61"/>
  <c r="O64" i="61"/>
  <c r="O48" i="60"/>
  <c r="L48" i="60"/>
  <c r="L40" i="60"/>
  <c r="O40" i="60"/>
  <c r="L58" i="61"/>
  <c r="O58" i="61"/>
  <c r="O58" i="60"/>
  <c r="L58" i="60"/>
  <c r="O149" i="56"/>
  <c r="O157" i="55"/>
  <c r="O158" i="55" s="1"/>
  <c r="F157" i="55" s="1"/>
  <c r="H71" i="35" s="1"/>
  <c r="M45" i="60"/>
  <c r="N45" i="60" s="1"/>
  <c r="G45" i="61"/>
  <c r="M45" i="61" s="1"/>
  <c r="N45" i="61" s="1"/>
  <c r="O63" i="60"/>
  <c r="L63" i="60"/>
  <c r="L64" i="60"/>
  <c r="O64" i="60"/>
  <c r="O45" i="59"/>
  <c r="L45" i="59"/>
  <c r="G66" i="35"/>
  <c r="M111" i="56"/>
  <c r="O55" i="61"/>
  <c r="L55" i="61"/>
  <c r="M108" i="56"/>
  <c r="M109" i="56"/>
  <c r="K57" i="61"/>
  <c r="G57" i="61"/>
  <c r="M57" i="61" s="1"/>
  <c r="N57" i="61" s="1"/>
  <c r="M102" i="56"/>
  <c r="M119" i="56"/>
  <c r="M112" i="56"/>
  <c r="M110" i="56"/>
  <c r="L57" i="60"/>
  <c r="O57" i="60"/>
  <c r="M113" i="56"/>
  <c r="M115" i="56"/>
  <c r="M104" i="56"/>
  <c r="M118" i="56"/>
  <c r="M117" i="56"/>
  <c r="M101" i="56"/>
  <c r="L44" i="60"/>
  <c r="M103" i="56"/>
  <c r="O150" i="56"/>
  <c r="M120" i="56"/>
  <c r="L56" i="61"/>
  <c r="O56" i="61"/>
  <c r="M106" i="56"/>
  <c r="K44" i="61"/>
  <c r="G44" i="61"/>
  <c r="M44" i="61" s="1"/>
  <c r="N44" i="61" s="1"/>
  <c r="M116" i="56"/>
  <c r="L51" i="61"/>
  <c r="O51" i="61"/>
  <c r="O56" i="60"/>
  <c r="L56" i="60"/>
  <c r="M105" i="56"/>
  <c r="O47" i="61"/>
  <c r="L47" i="61"/>
  <c r="M114" i="56"/>
  <c r="O39" i="60"/>
  <c r="G75" i="35"/>
  <c r="F157" i="54"/>
  <c r="G71" i="35" s="1"/>
  <c r="L7" i="57"/>
  <c r="G123" i="57"/>
  <c r="L50" i="61" l="1"/>
  <c r="L54" i="61"/>
  <c r="N54" i="61"/>
  <c r="O54" i="61" s="1"/>
  <c r="L40" i="61"/>
  <c r="N40" i="61"/>
  <c r="O40" i="61" s="1"/>
  <c r="D61" i="46"/>
  <c r="D62" i="46"/>
  <c r="L60" i="61"/>
  <c r="O60" i="61"/>
  <c r="L60" i="60"/>
  <c r="O60" i="60"/>
  <c r="O37" i="59"/>
  <c r="O155" i="59" s="1"/>
  <c r="L67" i="35" s="1"/>
  <c r="O146" i="58"/>
  <c r="K69" i="35" s="1"/>
  <c r="O144" i="58"/>
  <c r="K73" i="35" s="1"/>
  <c r="L61" i="60"/>
  <c r="O61" i="60"/>
  <c r="L61" i="61"/>
  <c r="O61" i="61"/>
  <c r="O156" i="56"/>
  <c r="O157" i="56" s="1"/>
  <c r="O158" i="56" s="1"/>
  <c r="N107" i="56"/>
  <c r="L59" i="61"/>
  <c r="O59" i="61"/>
  <c r="O46" i="61"/>
  <c r="L46" i="61"/>
  <c r="H75" i="35"/>
  <c r="L45" i="61"/>
  <c r="O45" i="61"/>
  <c r="N37" i="59"/>
  <c r="L16" i="35" s="1"/>
  <c r="L14" i="35" s="1"/>
  <c r="O45" i="60"/>
  <c r="L45" i="60"/>
  <c r="M37" i="60"/>
  <c r="M15" i="35" s="1"/>
  <c r="I118" i="35"/>
  <c r="O118" i="35" s="1"/>
  <c r="D75" i="46" s="1"/>
  <c r="N109" i="56"/>
  <c r="I94" i="35"/>
  <c r="O94" i="35" s="1"/>
  <c r="K38" i="46" s="1"/>
  <c r="N103" i="56"/>
  <c r="O44" i="60"/>
  <c r="I122" i="35"/>
  <c r="O122" i="35" s="1"/>
  <c r="D81" i="46" s="1"/>
  <c r="N110" i="56"/>
  <c r="N108" i="56"/>
  <c r="I114" i="35"/>
  <c r="O114" i="35" s="1"/>
  <c r="D69" i="46" s="1"/>
  <c r="M147" i="57"/>
  <c r="M148" i="57"/>
  <c r="N105" i="56"/>
  <c r="I102" i="35"/>
  <c r="O102" i="35" s="1"/>
  <c r="D51" i="46" s="1"/>
  <c r="I130" i="35"/>
  <c r="O130" i="35" s="1"/>
  <c r="D93" i="46" s="1"/>
  <c r="N112" i="56"/>
  <c r="N119" i="56"/>
  <c r="I158" i="35"/>
  <c r="O158" i="35" s="1"/>
  <c r="K87" i="46" s="1"/>
  <c r="O147" i="57"/>
  <c r="O148" i="57" s="1"/>
  <c r="L5" i="58"/>
  <c r="N101" i="56"/>
  <c r="M121" i="56"/>
  <c r="I86" i="35"/>
  <c r="O86" i="35" s="1"/>
  <c r="K26" i="46" s="1"/>
  <c r="N102" i="56"/>
  <c r="I90" i="35"/>
  <c r="O90" i="35" s="1"/>
  <c r="K32" i="46" s="1"/>
  <c r="I150" i="35"/>
  <c r="O150" i="35" s="1"/>
  <c r="K75" i="46" s="1"/>
  <c r="N117" i="56"/>
  <c r="N118" i="56"/>
  <c r="I154" i="35"/>
  <c r="O154" i="35" s="1"/>
  <c r="K81" i="46" s="1"/>
  <c r="I126" i="35"/>
  <c r="O126" i="35" s="1"/>
  <c r="D87" i="46" s="1"/>
  <c r="N111" i="56"/>
  <c r="I146" i="35"/>
  <c r="O146" i="35" s="1"/>
  <c r="K69" i="46" s="1"/>
  <c r="N116" i="56"/>
  <c r="I162" i="35"/>
  <c r="O162" i="35" s="1"/>
  <c r="N120" i="56"/>
  <c r="N115" i="56"/>
  <c r="I142" i="35"/>
  <c r="O142" i="35" s="1"/>
  <c r="K63" i="46" s="1"/>
  <c r="L57" i="61"/>
  <c r="O57" i="61"/>
  <c r="N104" i="56"/>
  <c r="I98" i="35"/>
  <c r="O98" i="35" s="1"/>
  <c r="K44" i="46" s="1"/>
  <c r="L44" i="61"/>
  <c r="M37" i="61"/>
  <c r="N15" i="35" s="1"/>
  <c r="I134" i="35"/>
  <c r="O134" i="35" s="1"/>
  <c r="K51" i="46" s="1"/>
  <c r="N113" i="56"/>
  <c r="N114" i="56"/>
  <c r="I138" i="35"/>
  <c r="O138" i="35" s="1"/>
  <c r="K57" i="46" s="1"/>
  <c r="I106" i="35"/>
  <c r="O106" i="35" s="1"/>
  <c r="D57" i="46" s="1"/>
  <c r="N106" i="56"/>
  <c r="D49" i="46" l="1"/>
  <c r="D50" i="46"/>
  <c r="D55" i="46"/>
  <c r="D56" i="46"/>
  <c r="K36" i="46"/>
  <c r="K37" i="46"/>
  <c r="K55" i="46"/>
  <c r="K56" i="46"/>
  <c r="K67" i="46"/>
  <c r="K68" i="46"/>
  <c r="K85" i="46"/>
  <c r="K86" i="46"/>
  <c r="D73" i="46"/>
  <c r="D74" i="46"/>
  <c r="D85" i="46"/>
  <c r="D86" i="46"/>
  <c r="K49" i="46"/>
  <c r="K50" i="46"/>
  <c r="K79" i="46"/>
  <c r="K80" i="46"/>
  <c r="D91" i="46"/>
  <c r="D92" i="46"/>
  <c r="K42" i="46"/>
  <c r="K43" i="46"/>
  <c r="K73" i="46"/>
  <c r="K74" i="46"/>
  <c r="K30" i="46"/>
  <c r="K31" i="46"/>
  <c r="D67" i="46"/>
  <c r="D68" i="46"/>
  <c r="K61" i="46"/>
  <c r="K62" i="46"/>
  <c r="K24" i="46"/>
  <c r="K25" i="46"/>
  <c r="D79" i="46"/>
  <c r="D80" i="46"/>
  <c r="O144" i="59"/>
  <c r="L73" i="35" s="1"/>
  <c r="O146" i="59"/>
  <c r="L69" i="35" s="1"/>
  <c r="I68" i="35"/>
  <c r="I66" i="35" s="1"/>
  <c r="O37" i="60"/>
  <c r="O155" i="60" s="1"/>
  <c r="O146" i="60" s="1"/>
  <c r="O149" i="57"/>
  <c r="M107" i="57"/>
  <c r="N107" i="57" s="1"/>
  <c r="N37" i="60"/>
  <c r="M16" i="35" s="1"/>
  <c r="M14" i="35" s="1"/>
  <c r="N37" i="61"/>
  <c r="N16" i="35" s="1"/>
  <c r="N14" i="35" s="1"/>
  <c r="M106" i="57"/>
  <c r="J106" i="35" s="1"/>
  <c r="O150" i="57"/>
  <c r="M108" i="57"/>
  <c r="M103" i="57"/>
  <c r="M111" i="57"/>
  <c r="O44" i="61"/>
  <c r="O37" i="61" s="1"/>
  <c r="O155" i="61" s="1"/>
  <c r="M114" i="57"/>
  <c r="M117" i="57"/>
  <c r="M120" i="57"/>
  <c r="M118" i="57"/>
  <c r="F157" i="56"/>
  <c r="I71" i="35" s="1"/>
  <c r="I75" i="35"/>
  <c r="M101" i="57"/>
  <c r="M104" i="57"/>
  <c r="M109" i="57"/>
  <c r="M110" i="57"/>
  <c r="M102" i="57"/>
  <c r="M113" i="57"/>
  <c r="M105" i="57"/>
  <c r="O15" i="35"/>
  <c r="D18" i="46" s="1"/>
  <c r="M119" i="57"/>
  <c r="M112" i="57"/>
  <c r="M115" i="57"/>
  <c r="L7" i="58"/>
  <c r="G123" i="58"/>
  <c r="M116" i="57"/>
  <c r="J110" i="35" l="1"/>
  <c r="O156" i="57"/>
  <c r="J68" i="35" s="1"/>
  <c r="M67" i="35"/>
  <c r="O144" i="60"/>
  <c r="M73" i="35" s="1"/>
  <c r="N106" i="57"/>
  <c r="O16" i="35"/>
  <c r="D19" i="46" s="1"/>
  <c r="N117" i="57"/>
  <c r="J150" i="35"/>
  <c r="J102" i="35"/>
  <c r="N105" i="57"/>
  <c r="J134" i="35"/>
  <c r="N113" i="57"/>
  <c r="M69" i="35"/>
  <c r="J138" i="35"/>
  <c r="N114" i="57"/>
  <c r="N102" i="57"/>
  <c r="J90" i="35"/>
  <c r="J118" i="35"/>
  <c r="N109" i="57"/>
  <c r="M147" i="58"/>
  <c r="M148" i="58"/>
  <c r="J126" i="35"/>
  <c r="N111" i="57"/>
  <c r="J94" i="35"/>
  <c r="N103" i="57"/>
  <c r="L5" i="59"/>
  <c r="O147" i="58"/>
  <c r="O148" i="58" s="1"/>
  <c r="N101" i="57"/>
  <c r="J86" i="35"/>
  <c r="M121" i="57"/>
  <c r="J122" i="35"/>
  <c r="N110" i="57"/>
  <c r="J98" i="35"/>
  <c r="N104" i="57"/>
  <c r="N115" i="57"/>
  <c r="J142" i="35"/>
  <c r="J114" i="35"/>
  <c r="N108" i="57"/>
  <c r="J146" i="35"/>
  <c r="N116" i="57"/>
  <c r="N112" i="57"/>
  <c r="J130" i="35"/>
  <c r="O144" i="61"/>
  <c r="N73" i="35" s="1"/>
  <c r="N67" i="35"/>
  <c r="O146" i="61"/>
  <c r="N118" i="57"/>
  <c r="J154" i="35"/>
  <c r="J158" i="35"/>
  <c r="N119" i="57"/>
  <c r="J162" i="35"/>
  <c r="N120" i="57"/>
  <c r="O157" i="57" l="1"/>
  <c r="O158" i="57" s="1"/>
  <c r="J75" i="35" s="1"/>
  <c r="O73" i="35"/>
  <c r="O149" i="58"/>
  <c r="O150" i="58"/>
  <c r="M101" i="58"/>
  <c r="K86" i="35" s="1"/>
  <c r="J66" i="35"/>
  <c r="M103" i="58"/>
  <c r="M110" i="58"/>
  <c r="M113" i="58"/>
  <c r="L7" i="59"/>
  <c r="G123" i="59"/>
  <c r="M107" i="58"/>
  <c r="M104" i="58"/>
  <c r="M102" i="58"/>
  <c r="M106" i="58"/>
  <c r="M108" i="58"/>
  <c r="M116" i="58"/>
  <c r="M119" i="58"/>
  <c r="M114" i="58"/>
  <c r="M105" i="58"/>
  <c r="M115" i="58"/>
  <c r="M111" i="58"/>
  <c r="M112" i="58"/>
  <c r="M120" i="58"/>
  <c r="M109" i="58"/>
  <c r="N69" i="35"/>
  <c r="O69" i="35" s="1"/>
  <c r="M118" i="58"/>
  <c r="O67" i="35"/>
  <c r="M117" i="58"/>
  <c r="O156" i="58" l="1"/>
  <c r="O157" i="58" s="1"/>
  <c r="O158" i="58" s="1"/>
  <c r="F157" i="57"/>
  <c r="J71" i="35" s="1"/>
  <c r="N101" i="58"/>
  <c r="K110" i="35"/>
  <c r="N107" i="58"/>
  <c r="M148" i="59"/>
  <c r="M147" i="59"/>
  <c r="K162" i="35"/>
  <c r="N120" i="58"/>
  <c r="N115" i="58"/>
  <c r="K142" i="35"/>
  <c r="K134" i="35"/>
  <c r="N113" i="58"/>
  <c r="N102" i="58"/>
  <c r="K90" i="35"/>
  <c r="N112" i="58"/>
  <c r="K130" i="35"/>
  <c r="K102" i="35"/>
  <c r="N105" i="58"/>
  <c r="N110" i="58"/>
  <c r="K122" i="35"/>
  <c r="O147" i="59"/>
  <c r="O148" i="59" s="1"/>
  <c r="L5" i="60"/>
  <c r="N114" i="58"/>
  <c r="K138" i="35"/>
  <c r="N116" i="58"/>
  <c r="K146" i="35"/>
  <c r="N104" i="58"/>
  <c r="K98" i="35"/>
  <c r="N109" i="58"/>
  <c r="K118" i="35"/>
  <c r="K126" i="35"/>
  <c r="N111" i="58"/>
  <c r="K158" i="35"/>
  <c r="N119" i="58"/>
  <c r="K150" i="35"/>
  <c r="N117" i="58"/>
  <c r="N108" i="58"/>
  <c r="K114" i="35"/>
  <c r="M121" i="58"/>
  <c r="K154" i="35"/>
  <c r="N118" i="58"/>
  <c r="K106" i="35"/>
  <c r="N106" i="58"/>
  <c r="N103" i="58"/>
  <c r="K94" i="35"/>
  <c r="M112" i="59" l="1"/>
  <c r="M101" i="59"/>
  <c r="L86" i="35" s="1"/>
  <c r="K68" i="35"/>
  <c r="K66" i="35" s="1"/>
  <c r="M117" i="59"/>
  <c r="N117" i="59" s="1"/>
  <c r="M118" i="59"/>
  <c r="L154" i="35" s="1"/>
  <c r="M108" i="59"/>
  <c r="N108" i="59" s="1"/>
  <c r="M107" i="59"/>
  <c r="L110" i="35" s="1"/>
  <c r="M106" i="59"/>
  <c r="L106" i="35" s="1"/>
  <c r="M111" i="59"/>
  <c r="L126" i="35" s="1"/>
  <c r="M102" i="59"/>
  <c r="N102" i="59" s="1"/>
  <c r="M109" i="59"/>
  <c r="L118" i="35" s="1"/>
  <c r="M119" i="59"/>
  <c r="L158" i="35" s="1"/>
  <c r="M110" i="59"/>
  <c r="L122" i="35" s="1"/>
  <c r="M104" i="59"/>
  <c r="L98" i="35" s="1"/>
  <c r="M113" i="59"/>
  <c r="N113" i="59" s="1"/>
  <c r="M114" i="59"/>
  <c r="L138" i="35" s="1"/>
  <c r="M105" i="59"/>
  <c r="N105" i="59" s="1"/>
  <c r="M103" i="59"/>
  <c r="N103" i="59" s="1"/>
  <c r="M115" i="59"/>
  <c r="N115" i="59" s="1"/>
  <c r="O149" i="59"/>
  <c r="M120" i="59"/>
  <c r="L162" i="35" s="1"/>
  <c r="O150" i="59"/>
  <c r="F157" i="58"/>
  <c r="K71" i="35" s="1"/>
  <c r="K75" i="35"/>
  <c r="L130" i="35"/>
  <c r="N112" i="59"/>
  <c r="G123" i="60"/>
  <c r="L7" i="60"/>
  <c r="M116" i="59"/>
  <c r="N101" i="59" l="1"/>
  <c r="L114" i="35"/>
  <c r="N118" i="59"/>
  <c r="N106" i="59"/>
  <c r="N107" i="59"/>
  <c r="L150" i="35"/>
  <c r="N111" i="59"/>
  <c r="L90" i="35"/>
  <c r="N114" i="59"/>
  <c r="N109" i="59"/>
  <c r="N119" i="59"/>
  <c r="N104" i="59"/>
  <c r="O156" i="59"/>
  <c r="L68" i="35" s="1"/>
  <c r="N110" i="59"/>
  <c r="L134" i="35"/>
  <c r="L142" i="35"/>
  <c r="M121" i="59"/>
  <c r="L94" i="35"/>
  <c r="L102" i="35"/>
  <c r="N120" i="59"/>
  <c r="M147" i="60"/>
  <c r="M148" i="60"/>
  <c r="O147" i="60"/>
  <c r="O148" i="60" s="1"/>
  <c r="L5" i="61"/>
  <c r="L146" i="35"/>
  <c r="N116" i="59"/>
  <c r="M120" i="60" l="1"/>
  <c r="M162" i="35" s="1"/>
  <c r="M113" i="60"/>
  <c r="N113" i="60" s="1"/>
  <c r="O157" i="59"/>
  <c r="O158" i="59" s="1"/>
  <c r="L75" i="35" s="1"/>
  <c r="M114" i="60"/>
  <c r="M138" i="35" s="1"/>
  <c r="M102" i="60"/>
  <c r="N102" i="60" s="1"/>
  <c r="M106" i="60"/>
  <c r="N106" i="60" s="1"/>
  <c r="M110" i="60"/>
  <c r="M122" i="35" s="1"/>
  <c r="M101" i="60"/>
  <c r="N101" i="60" s="1"/>
  <c r="M118" i="60"/>
  <c r="N118" i="60" s="1"/>
  <c r="M109" i="60"/>
  <c r="N109" i="60" s="1"/>
  <c r="M112" i="60"/>
  <c r="M130" i="35" s="1"/>
  <c r="M115" i="60"/>
  <c r="N115" i="60" s="1"/>
  <c r="M111" i="60"/>
  <c r="M126" i="35" s="1"/>
  <c r="M116" i="60"/>
  <c r="M146" i="35" s="1"/>
  <c r="M117" i="60"/>
  <c r="M150" i="35" s="1"/>
  <c r="M108" i="60"/>
  <c r="M114" i="35" s="1"/>
  <c r="M119" i="60"/>
  <c r="M158" i="35" s="1"/>
  <c r="M104" i="60"/>
  <c r="M98" i="35" s="1"/>
  <c r="M107" i="60"/>
  <c r="M110" i="35" s="1"/>
  <c r="M105" i="60"/>
  <c r="N105" i="60" s="1"/>
  <c r="M103" i="60"/>
  <c r="G123" i="61"/>
  <c r="L7" i="61"/>
  <c r="O150" i="60"/>
  <c r="O149" i="60"/>
  <c r="L66" i="35"/>
  <c r="M134" i="35" l="1"/>
  <c r="N120" i="60"/>
  <c r="F157" i="59"/>
  <c r="L71" i="35" s="1"/>
  <c r="M86" i="35"/>
  <c r="M106" i="35"/>
  <c r="M154" i="35"/>
  <c r="M118" i="35"/>
  <c r="N110" i="60"/>
  <c r="N114" i="60"/>
  <c r="M90" i="35"/>
  <c r="M142" i="35"/>
  <c r="N112" i="60"/>
  <c r="N116" i="60"/>
  <c r="N108" i="60"/>
  <c r="O156" i="60"/>
  <c r="M68" i="35" s="1"/>
  <c r="M66" i="35" s="1"/>
  <c r="N104" i="60"/>
  <c r="N111" i="60"/>
  <c r="M121" i="60"/>
  <c r="M94" i="35"/>
  <c r="N103" i="60"/>
  <c r="N119" i="60"/>
  <c r="N117" i="60"/>
  <c r="M102" i="35"/>
  <c r="N107" i="60"/>
  <c r="O147" i="61"/>
  <c r="O148" i="61" s="1"/>
  <c r="M148" i="61"/>
  <c r="M147" i="61"/>
  <c r="O157" i="60" l="1"/>
  <c r="O158" i="60" s="1"/>
  <c r="M75" i="35" s="1"/>
  <c r="M111" i="61"/>
  <c r="N111" i="61" s="1"/>
  <c r="O150" i="61"/>
  <c r="O149" i="61"/>
  <c r="M117" i="61"/>
  <c r="N117" i="61" s="1"/>
  <c r="M104" i="61"/>
  <c r="M103" i="61"/>
  <c r="M105" i="61"/>
  <c r="M101" i="61"/>
  <c r="M108" i="61"/>
  <c r="M112" i="61"/>
  <c r="M107" i="61"/>
  <c r="M116" i="61"/>
  <c r="M110" i="61"/>
  <c r="M102" i="61"/>
  <c r="M113" i="61"/>
  <c r="M119" i="61"/>
  <c r="M115" i="61"/>
  <c r="M109" i="61"/>
  <c r="M120" i="61"/>
  <c r="M106" i="61"/>
  <c r="M114" i="61"/>
  <c r="M118" i="61"/>
  <c r="F157" i="60" l="1"/>
  <c r="M71" i="35" s="1"/>
  <c r="N126" i="35"/>
  <c r="N150" i="35"/>
  <c r="O156" i="61"/>
  <c r="N68" i="35" s="1"/>
  <c r="O68" i="35" s="1"/>
  <c r="N114" i="61"/>
  <c r="N138" i="35"/>
  <c r="N134" i="35"/>
  <c r="N113" i="61"/>
  <c r="N122" i="35"/>
  <c r="N110" i="61"/>
  <c r="N146" i="35"/>
  <c r="N116" i="61"/>
  <c r="N102" i="61"/>
  <c r="N90" i="35"/>
  <c r="N98" i="35"/>
  <c r="N104" i="61"/>
  <c r="N110" i="35"/>
  <c r="N107" i="61"/>
  <c r="N118" i="61"/>
  <c r="N154" i="35"/>
  <c r="N112" i="61"/>
  <c r="N130" i="35"/>
  <c r="N106" i="35"/>
  <c r="N106" i="61"/>
  <c r="M121" i="61"/>
  <c r="N101" i="61"/>
  <c r="N86" i="35"/>
  <c r="N162" i="35"/>
  <c r="N120" i="61"/>
  <c r="N109" i="61"/>
  <c r="N118" i="35"/>
  <c r="N105" i="61"/>
  <c r="N102" i="35"/>
  <c r="N114" i="35"/>
  <c r="N108" i="61"/>
  <c r="N142" i="35"/>
  <c r="N115" i="61"/>
  <c r="N158" i="35"/>
  <c r="N119" i="61"/>
  <c r="N103" i="61"/>
  <c r="N94" i="35"/>
  <c r="N66" i="35" l="1"/>
  <c r="O66" i="35" s="1"/>
  <c r="D34" i="46" s="1"/>
  <c r="D12" i="46" s="1"/>
  <c r="O157" i="61"/>
  <c r="O158" i="61" s="1"/>
  <c r="F157" i="61" s="1"/>
  <c r="N71" i="35" s="1"/>
  <c r="N75" i="35" l="1"/>
  <c r="K7" i="46" s="1"/>
  <c r="O75" i="35" l="1"/>
  <c r="O71" i="35" s="1"/>
</calcChain>
</file>

<file path=xl/sharedStrings.xml><?xml version="1.0" encoding="utf-8"?>
<sst xmlns="http://schemas.openxmlformats.org/spreadsheetml/2006/main" count="2357" uniqueCount="368">
  <si>
    <t>Hidden Rows/Columns/Sheets</t>
  </si>
  <si>
    <t>See the next tab for instructions on how to hide/unhide rows and sheets</t>
  </si>
  <si>
    <t xml:space="preserve">Hidden tabs and rows are still calculated in all sums, hiding them does not delete them. </t>
  </si>
  <si>
    <t>Each budget year has 27 rows for employees, only the first 11 are visible, rows 48-63 are hidden</t>
  </si>
  <si>
    <t>Each budget year has 20 rows for subawards, only the first 5 are visible (rows 104-118 hidden)</t>
  </si>
  <si>
    <t>There are 10 budget periods, periods 6-10 have hidden sheets</t>
  </si>
  <si>
    <t>The extra budget periods (Col J - N) and subawards (rows 50-64) are hidden in Summary page</t>
  </si>
  <si>
    <t>The extra subawards are hidden in Setup_L4 (row 48-94) and Setup_L5 as well</t>
  </si>
  <si>
    <t>You may need to reformat print area or change from "fit on one page" if you Unhide any cells</t>
  </si>
  <si>
    <t>Printing should not print the hidden sheets, even if using "Print Entire Workbook"</t>
  </si>
  <si>
    <t>RSC USE ONLY:  Setup_L4 and Setup_L5 tabs are hidden and can be unhidden for award set up use.</t>
  </si>
  <si>
    <t>F&amp;A Calculation Note</t>
  </si>
  <si>
    <t>Changed all of the ROUND(%,0) to ROUNDUP(%,0) for subaward F&amp;A only</t>
  </si>
  <si>
    <t>Since subawards are in a separate project in Peoplesoft, main project indirect costs may be off due to rounding</t>
  </si>
  <si>
    <t>Overall_F&amp;A =  ROUND(MTDC_Award * F&amp;A_Rate,0)</t>
  </si>
  <si>
    <t>where MTDC_Award = MTDC_MainProject + MTDC_Subaward1 + MTDC_Subaward2 + …</t>
  </si>
  <si>
    <t>F&amp;A Rate for each subaward will calcualte as ROUNDUP(MTDC_Sub * F&amp;ARate,0) as expected</t>
  </si>
  <si>
    <t>F&amp;A_MainProject =  ROUNDUP(MTDC_Award * F&amp;A_Rate, 0) - SUM(ROUNDUP(MTDC_SUB* F&amp;A_Rate,0)). This may not equal ROUNDUP(MTDC_MainProject * F&amp;A_Rate, 0)</t>
  </si>
  <si>
    <t>Example</t>
  </si>
  <si>
    <t>Calculated</t>
  </si>
  <si>
    <t>Set Up As</t>
  </si>
  <si>
    <t>MTDC_Sub1</t>
  </si>
  <si>
    <t xml:space="preserve">* .47 = </t>
  </si>
  <si>
    <t>ROUNDUP(%,0)</t>
  </si>
  <si>
    <t xml:space="preserve">MTDC_Sub2 </t>
  </si>
  <si>
    <t xml:space="preserve">MTDC_Project </t>
  </si>
  <si>
    <t>ROUND(%,0)</t>
  </si>
  <si>
    <t>Total</t>
  </si>
  <si>
    <t>MTDC_Award</t>
  </si>
  <si>
    <t>In this case, the main project would be setup $1 short on F&amp;A, and each subaward project will have an extra $0.50</t>
  </si>
  <si>
    <t>Only an issue if subaward budget is not a multiple of 100</t>
  </si>
  <si>
    <t>Premium Sharing Change</t>
  </si>
  <si>
    <t>http://www.utsa.edu/payroll/fringe_benefit.html</t>
  </si>
  <si>
    <t xml:space="preserve">In previous years, premium sharing was only funded up to 50% for employees working 0.5 to .999 FTE. This has changed so now </t>
  </si>
  <si>
    <t xml:space="preserve">0.5 to 0.7499 FTE get up to 50% premium sharing and </t>
  </si>
  <si>
    <t>0.75 to 1 FTE get the full 100%</t>
  </si>
  <si>
    <t>In the drop down, FT = Full Time = anyone equal or over 0.75 FTE</t>
  </si>
  <si>
    <t>Other Categories</t>
  </si>
  <si>
    <t>Every Possible Budget category is explicily listed in the budget sheet. We have included two "Other (Please Specify)" categories.</t>
  </si>
  <si>
    <t>These should only be used if a sponsor requires us to deviate from normal F&amp;A rates. Otherwise put the amount into the normal line</t>
  </si>
  <si>
    <t xml:space="preserve">Use of these will most likely result in a separate project being setup </t>
  </si>
  <si>
    <t>Known issues</t>
  </si>
  <si>
    <t>Premium sharing choices is determined by employee type. It is possible to select employee type first, then select premium sharing, then change employee type and get an unallowable combination.</t>
  </si>
  <si>
    <t>To unhide a row</t>
  </si>
  <si>
    <t>Rows 7 and 8 below are hidden</t>
  </si>
  <si>
    <t>1. Highlight the rows above and below ( 6 and 9 in this case)</t>
  </si>
  <si>
    <t>2. Right click on the row numbers in the left column</t>
  </si>
  <si>
    <t>3. Select "Unhide"</t>
  </si>
  <si>
    <t>To rehide the row</t>
  </si>
  <si>
    <t>1. Select the rows you want hidden</t>
  </si>
  <si>
    <t>2. Right click on the row numbers on the left column</t>
  </si>
  <si>
    <t>3. Select "Hide"</t>
  </si>
  <si>
    <t>To Unhide a Tab</t>
  </si>
  <si>
    <t>1. Right Click on any of tabs below</t>
  </si>
  <si>
    <t>2. Select Unhide</t>
  </si>
  <si>
    <t>3. Select the sheets you want hidden</t>
  </si>
  <si>
    <t>4. Ok</t>
  </si>
  <si>
    <t>To Rehide a Tab</t>
  </si>
  <si>
    <t>1. Right Click on the tab you want hidden</t>
  </si>
  <si>
    <t>2. Select Hide</t>
  </si>
  <si>
    <t>Proposal Budget Template</t>
  </si>
  <si>
    <t>Revised 8/30/24</t>
  </si>
  <si>
    <t>Sponsor:</t>
  </si>
  <si>
    <t>Period 1</t>
  </si>
  <si>
    <t>Premium Sharing Contribution (Health Insurance) Rates</t>
  </si>
  <si>
    <t>FY 9/1/24 - 8/31/25</t>
  </si>
  <si>
    <t>Staff/Faculty Fringe Benefit Detail: https://www.utsa.edu/financialaffairs/services/payroll/faculty-staff-resources/fringe-benefits.html</t>
  </si>
  <si>
    <t>PI/PD:</t>
  </si>
  <si>
    <t>Start:</t>
  </si>
  <si>
    <t>Full Time</t>
  </si>
  <si>
    <t>Part Time</t>
  </si>
  <si>
    <t>GRA Student Employee Benefit Detail: https://utsa.myahpcare.com/enrollment</t>
  </si>
  <si>
    <t>Emp/Family</t>
  </si>
  <si>
    <t>GRA Student Employee Salary/Wage Detail: https://graduateschool.utsa.edu/tuition-funding/assistantships/#funding</t>
  </si>
  <si>
    <t xml:space="preserve">Project Title: </t>
  </si>
  <si>
    <t>End:</t>
  </si>
  <si>
    <t>Emp/Child</t>
  </si>
  <si>
    <t>Graduate Research Assistant: limited 19 hours/week, included here as "PT_BE_12"</t>
  </si>
  <si>
    <t>Emp/Spouse</t>
  </si>
  <si>
    <t>Emp Only</t>
  </si>
  <si>
    <t>Grad Res Asst</t>
  </si>
  <si>
    <t>NA</t>
  </si>
  <si>
    <t>FT_BE_09</t>
  </si>
  <si>
    <t>FT_BE_12</t>
  </si>
  <si>
    <t>PT_BE_12</t>
  </si>
  <si>
    <t>PT_NB_12</t>
  </si>
  <si>
    <t>Select</t>
  </si>
  <si>
    <t>Hourly</t>
  </si>
  <si>
    <t>Select One</t>
  </si>
  <si>
    <t>None</t>
  </si>
  <si>
    <t>Direct Costs (F&amp;A Included)</t>
  </si>
  <si>
    <r>
      <t xml:space="preserve">Personnel. </t>
    </r>
    <r>
      <rPr>
        <b/>
        <i/>
        <sz val="10"/>
        <rFont val="Arial"/>
        <family val="2"/>
      </rPr>
      <t>Follow headers in brackets [ ] to indicate details for hourly personnel.</t>
    </r>
  </si>
  <si>
    <t>Total Personnel Costs</t>
  </si>
  <si>
    <t>Name</t>
  </si>
  <si>
    <t>Role on Project</t>
  </si>
  <si>
    <t>Employee Type*</t>
  </si>
  <si>
    <r>
      <t xml:space="preserve">Premium Sharing 
</t>
    </r>
    <r>
      <rPr>
        <b/>
        <i/>
        <sz val="8"/>
        <rFont val="Arial"/>
        <family val="2"/>
      </rPr>
      <t>(Health Insurance)</t>
    </r>
  </si>
  <si>
    <t>Institutional Base Salary [Hourly Rate]</t>
  </si>
  <si>
    <t># of Months [Weeks]</t>
  </si>
  <si>
    <t>Percent of Effort [Hrs/wk]</t>
  </si>
  <si>
    <t>Person Months</t>
  </si>
  <si>
    <r>
      <t xml:space="preserve">% Fringe </t>
    </r>
    <r>
      <rPr>
        <b/>
        <i/>
        <sz val="8"/>
        <rFont val="Arial"/>
        <family val="2"/>
      </rPr>
      <t>(Federal + Health Ins., if applicable)</t>
    </r>
  </si>
  <si>
    <t>G5010 
Salary</t>
  </si>
  <si>
    <t>G5030 Fringe Benefits</t>
  </si>
  <si>
    <t>Total Salary and Fringe</t>
  </si>
  <si>
    <t>*Employee Type Key</t>
  </si>
  <si>
    <t>FT_BE_09 = Full Time, Benefits Eligible, 9 month appointment faculty. 18% fringe plus full premium sharing</t>
  </si>
  <si>
    <t xml:space="preserve">FT_BE_12 = Full Time (FTE &gt;= 0.75), Benefits Eligible, 12 month appointment faculty/staff. 18% fringe plus full premium sharing. </t>
  </si>
  <si>
    <t xml:space="preserve">PT_BE_12 = Part Time (0.5 &lt;= FTE &lt; 0.75), Benefits Eligible, 12 month appointment faculty/staff/students. Part Time Salaried, Benefits Eligible (20-39 hours/week). PhD Students with 47.5% appointment. 8% fringe plus appropriate premium sharing. </t>
  </si>
  <si>
    <t>PT_NB_12 = Part Time, Non-Benefits Eligible, 12 month appointment faculty/staff. Part Time Salaried, Non-Benefits Eligible (Less than 20 hours/week) : Master's GRA's and TA's &amp; Undergrads less than 50% and part time or temporary salaried staff/students. 8% fringe with no premium sharing</t>
  </si>
  <si>
    <t>Hourly = Hourly Employee, Non-Benefits Eligible. 8% fringe with no premium sharing</t>
  </si>
  <si>
    <t>Note : more employee rows hidden if needed</t>
  </si>
  <si>
    <t>Travel</t>
  </si>
  <si>
    <t>G5130 Domestic</t>
  </si>
  <si>
    <t>G5140 Foreign</t>
  </si>
  <si>
    <t>Other Costs (F&amp;A Included)</t>
  </si>
  <si>
    <t>G5110 Other Direct Costs</t>
  </si>
  <si>
    <t xml:space="preserve">   Materials &amp; Supplies (items with unit cost of less than $5K and/or useable life of less than 1 year)</t>
  </si>
  <si>
    <t xml:space="preserve">   Publication Costs (i.e., costs of documenting, preparing, publishing or otherwise making available the findings/products of the work)</t>
  </si>
  <si>
    <t xml:space="preserve">    Publication Costs (i.e., costs of documenting, preparing, publishing or otherwise making available the findings/products of the work  see line 80 for NIH)</t>
  </si>
  <si>
    <t xml:space="preserve">   Computer Services (i.e., computer-based retrieval of scientific, technical and educational information)</t>
  </si>
  <si>
    <t xml:space="preserve">   User Fees (i.e., fees for use of UTSA core facilities)</t>
  </si>
  <si>
    <t xml:space="preserve">   Human Subject Payments</t>
  </si>
  <si>
    <t xml:space="preserve">   Other - Please Specify:</t>
  </si>
  <si>
    <t>G5080 Consultant Services (Purchase of Services)</t>
  </si>
  <si>
    <t>G5125 Equipment Rental</t>
  </si>
  <si>
    <t>G5116 Other. Workshop-Seminar</t>
  </si>
  <si>
    <t>Only for hosting a workshop, not attending a workshop</t>
  </si>
  <si>
    <r>
      <t xml:space="preserve">G5070 Other. Curation </t>
    </r>
    <r>
      <rPr>
        <b/>
        <sz val="10"/>
        <rFont val="Arial"/>
        <family val="2"/>
      </rPr>
      <t>(Center for Archaeological Research Only)</t>
    </r>
  </si>
  <si>
    <r>
      <t xml:space="preserve">G5115 Mileage Expense </t>
    </r>
    <r>
      <rPr>
        <b/>
        <sz val="10"/>
        <rFont val="Arial"/>
        <family val="2"/>
      </rPr>
      <t>(Center for Archaeological Research Only)</t>
    </r>
  </si>
  <si>
    <t xml:space="preserve">For RR Budget, include under F. Other Direct Costs | For Modular Budget, include "Additional Narrative Justification" attachment. </t>
  </si>
  <si>
    <t>Direct Costs (F&amp;A Excluded)</t>
  </si>
  <si>
    <r>
      <t xml:space="preserve">G5060 Capital Equipment. </t>
    </r>
    <r>
      <rPr>
        <b/>
        <i/>
        <sz val="10"/>
        <rFont val="Arial"/>
        <family val="2"/>
      </rPr>
      <t>Note: Minimum unit cost of $5,000 and useable life of &gt; 1 year.</t>
    </r>
  </si>
  <si>
    <t>1. Equipment Item 1</t>
  </si>
  <si>
    <t>2. Equipment Item 2</t>
  </si>
  <si>
    <t>3. Equipment Item 3</t>
  </si>
  <si>
    <r>
      <t xml:space="preserve">Participant Support Costs. </t>
    </r>
    <r>
      <rPr>
        <b/>
        <i/>
        <sz val="10"/>
        <rFont val="Arial"/>
        <family val="2"/>
      </rPr>
      <t xml:space="preserve">Note: Also used for Fellowship expenses on NIH Fellowship applications. </t>
    </r>
  </si>
  <si>
    <t>G5160 Participant Stipends (i.e., Stipends, Scholarships or Fellowships)</t>
  </si>
  <si>
    <t>G5170 Participant Tuition &amp; Fees</t>
  </si>
  <si>
    <t>Tuition goes here only if student is a participant. UTSA student tuition rates: https://onestop.utsa.edu/financialaid/cost-of-attendance/2022-2023-cost-of-attendance/</t>
  </si>
  <si>
    <t>G5150 Other Participant Expenses</t>
  </si>
  <si>
    <t xml:space="preserve">G5155 Participant Travel </t>
  </si>
  <si>
    <t>Student employee travel should go under row 65 Travel. This line is for particpant travel.</t>
  </si>
  <si>
    <t>Other Costs (F&amp;A Excluded)</t>
  </si>
  <si>
    <t>G5170 Other. Tuition &amp; Fees for UTSA Salaried Student Employees (i.e., Graduate Research Assistants)</t>
  </si>
  <si>
    <t xml:space="preserve">For NSF: this goes under G.6.Other </t>
  </si>
  <si>
    <t>G5040 Other. Alterations and Renovations (Capital Expenses - Construction)</t>
  </si>
  <si>
    <t>G5120 Other. Rentals and Off Site Leases</t>
  </si>
  <si>
    <t>G5050 Equipment. Equipment Fabrication</t>
  </si>
  <si>
    <r>
      <t xml:space="preserve">G5090 Office Services </t>
    </r>
    <r>
      <rPr>
        <b/>
        <sz val="10"/>
        <rFont val="Arial"/>
        <family val="2"/>
      </rPr>
      <t>(Center for Archaeological Research Only)</t>
    </r>
  </si>
  <si>
    <t>Subawards</t>
  </si>
  <si>
    <t xml:space="preserve">Subawards/Subcontracts - Indirect Costs are only charged on the first $25,000 of each subaward regardless of duration. </t>
  </si>
  <si>
    <t xml:space="preserve"> Total Subawards</t>
  </si>
  <si>
    <t xml:space="preserve"> </t>
  </si>
  <si>
    <t>Name of Subrecipient/Subawardee</t>
  </si>
  <si>
    <t>Subrecipient Direct Costs</t>
  </si>
  <si>
    <t>Subrecipient Indirect Costs</t>
  </si>
  <si>
    <t>Subrecipient Total Costs</t>
  </si>
  <si>
    <t>G5180  Portion of Sub &lt; $25k</t>
  </si>
  <si>
    <t>G5190 Portion of Sub &gt; $25K</t>
  </si>
  <si>
    <t>G5200 UTSA F&amp;A on Sub</t>
  </si>
  <si>
    <t>Subrecipient Project Total at UTSA (includes UTSA F&amp;A on sub)</t>
  </si>
  <si>
    <t>Note: more subaward rows hidden if needed</t>
  </si>
  <si>
    <t>Subrecipient/Consortium Totals</t>
  </si>
  <si>
    <t>Fiscal Year Begin</t>
  </si>
  <si>
    <t>FY</t>
  </si>
  <si>
    <t>Rate</t>
  </si>
  <si>
    <t>End Date</t>
  </si>
  <si>
    <t>Indirect (F&amp;A) Rate</t>
  </si>
  <si>
    <t xml:space="preserve">UTSA Federally Negotiated F&amp;A (Indirect Cost) Rates                                      
</t>
  </si>
  <si>
    <r>
      <rPr>
        <b/>
        <sz val="10"/>
        <rFont val="Arial"/>
        <family val="2"/>
      </rPr>
      <t>UTSA utilizes a Modified Total Direct Costs (MTDC) Base.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Excluded from MTDC: Equipment, Capital Expenditures, Charges for Patient Care, Student Tuition Remission, Rental Costs of off-site facilities, scholarships and fellowships, Participant Support, and the portion of each subaward in excess of $25,000</t>
    </r>
  </si>
  <si>
    <t>Total Direct Costs Minus (-) Consortium F&amp;A</t>
  </si>
  <si>
    <t>For NIH: This cell is only used for NIH, the cell with autocalculate</t>
  </si>
  <si>
    <t>Total Subrecipient/Consortium F&amp;A</t>
  </si>
  <si>
    <t>On Campus</t>
  </si>
  <si>
    <t>Indirect Cost (F&amp;A) Base (Default: MTDC)</t>
  </si>
  <si>
    <t>Indirect (F&amp;A) Base is defaulted to calculate MTDC. May need to adjust per sponsor requirements for base (i.e., total direct, total project, etc.)</t>
  </si>
  <si>
    <t>Organized Research (FY 9/1/20-Until Amended)</t>
  </si>
  <si>
    <t>F&amp;A Rate 1</t>
  </si>
  <si>
    <t>F&amp;A Base 1</t>
  </si>
  <si>
    <t>Instruction (FY 9/1/17-Until Amended)</t>
  </si>
  <si>
    <t>F&amp;A Rate 2</t>
  </si>
  <si>
    <t>F&amp;A Base 2</t>
  </si>
  <si>
    <t>Other Sponsored Activities (FY 9/1/17- Until Amended)</t>
  </si>
  <si>
    <t>Indirect Cost 1</t>
  </si>
  <si>
    <t>Indirect Cost 2</t>
  </si>
  <si>
    <t>Off Campus</t>
  </si>
  <si>
    <r>
      <t xml:space="preserve">If F&amp;A Rate or Base being used is different than UTSA's negotiated rate, please enter justification: </t>
    </r>
    <r>
      <rPr>
        <sz val="10"/>
        <rFont val="Arial"/>
        <family val="2"/>
      </rPr>
      <t xml:space="preserve">&lt;Add text here&gt; </t>
    </r>
  </si>
  <si>
    <t>All programs (FY 9/1/17-Until Amended)</t>
  </si>
  <si>
    <t>Cost Share</t>
  </si>
  <si>
    <t>Cost Shared Amount (Enter from the Cost Share Request form, only if applicable)</t>
  </si>
  <si>
    <t>Totals</t>
  </si>
  <si>
    <t>UTSA Direct Costs</t>
  </si>
  <si>
    <t>UTSA (F&amp;A) Indirect Costs</t>
  </si>
  <si>
    <t>Cost Shared Percentage of Total Budget</t>
  </si>
  <si>
    <t>Total Sponsor Costs</t>
  </si>
  <si>
    <t>Total Project Costs (Sponsor + Cost Share)</t>
  </si>
  <si>
    <t>Period 2</t>
  </si>
  <si>
    <t>Project Title:</t>
  </si>
  <si>
    <t xml:space="preserve">For NIH: Must include separate section in "Other" category titled "Data Management and Sharing Costs." This is to support direct costs associated with activities proposed in the Data Management &amp; Sharing Plan (DMP). </t>
  </si>
  <si>
    <t>Period 3</t>
  </si>
  <si>
    <t>Premium Sharing Contribution (Health Insurance) Rates*</t>
  </si>
  <si>
    <t>Period 4</t>
  </si>
  <si>
    <t>Period 5</t>
  </si>
  <si>
    <t>Period 6</t>
  </si>
  <si>
    <t>G4010/G5010 
Salary</t>
  </si>
  <si>
    <t>G4020/G5030 Fringe Benefits</t>
  </si>
  <si>
    <t>Period 7</t>
  </si>
  <si>
    <t>Period 8</t>
  </si>
  <si>
    <t>Period 9</t>
  </si>
  <si>
    <t>Period 10</t>
  </si>
  <si>
    <t>Proposal Budget Template - Summary Page</t>
  </si>
  <si>
    <t>Project Title</t>
  </si>
  <si>
    <t>All</t>
  </si>
  <si>
    <t>Start</t>
  </si>
  <si>
    <t>End</t>
  </si>
  <si>
    <t>Personnel</t>
  </si>
  <si>
    <t>Subtotal</t>
  </si>
  <si>
    <t>G5010</t>
  </si>
  <si>
    <t>Salaries</t>
  </si>
  <si>
    <t>G5030</t>
  </si>
  <si>
    <t>Fringe Benefits</t>
  </si>
  <si>
    <t>G5130</t>
  </si>
  <si>
    <t>Travel - Domestic</t>
  </si>
  <si>
    <t>G5140</t>
  </si>
  <si>
    <t>Travel - Foreign</t>
  </si>
  <si>
    <t>Capital Expense</t>
  </si>
  <si>
    <t>G5040</t>
  </si>
  <si>
    <t>Construction (Alterations and Renovations)</t>
  </si>
  <si>
    <t>G5050</t>
  </si>
  <si>
    <t>Equipment Fabrication</t>
  </si>
  <si>
    <t>G5060</t>
  </si>
  <si>
    <t>Equipment (Capital)</t>
  </si>
  <si>
    <t>Other Direct</t>
  </si>
  <si>
    <t>G5070</t>
  </si>
  <si>
    <t>Other: Curation (L5 Only) - for CAR</t>
  </si>
  <si>
    <t>G5080</t>
  </si>
  <si>
    <t>Consultants (Consultant/Purchase of Services)</t>
  </si>
  <si>
    <t>G5090</t>
  </si>
  <si>
    <t>Other: Office Services (L5 Only) - for CAR</t>
  </si>
  <si>
    <t>G5110</t>
  </si>
  <si>
    <t>Other Direct Costs</t>
  </si>
  <si>
    <t>Materials &amp; Supplies</t>
  </si>
  <si>
    <t>Publication Costs</t>
  </si>
  <si>
    <t>Computer Services</t>
  </si>
  <si>
    <t>User Fees</t>
  </si>
  <si>
    <t>Human Subject Payments</t>
  </si>
  <si>
    <t>?</t>
  </si>
  <si>
    <t>Other (F&amp;A Included)</t>
  </si>
  <si>
    <t>G5116</t>
  </si>
  <si>
    <t>Other: Workshop-Seminar Costs</t>
  </si>
  <si>
    <t>G5115</t>
  </si>
  <si>
    <t>Mileage Expense (L5 Only) - for CAR</t>
  </si>
  <si>
    <t>G5120</t>
  </si>
  <si>
    <t>Rentals &amp; (Off Site) Leases</t>
  </si>
  <si>
    <t>G5125</t>
  </si>
  <si>
    <t>Rental Equipment</t>
  </si>
  <si>
    <t>G5170</t>
  </si>
  <si>
    <t>Other: Tuition &amp; Fees (For NSF: G.6.)</t>
  </si>
  <si>
    <t>Participant Support (or Fellowship Expenses for NIH)</t>
  </si>
  <si>
    <t>G5150</t>
  </si>
  <si>
    <t>(Other) Participant Expenses</t>
  </si>
  <si>
    <t>G5155</t>
  </si>
  <si>
    <t>Participant Travel</t>
  </si>
  <si>
    <t>G5160</t>
  </si>
  <si>
    <t>Participant Stipends (i.e., Stipends, Scholarships &amp; Fellowships)</t>
  </si>
  <si>
    <t>Participant Tuition &amp; Fees</t>
  </si>
  <si>
    <t>Note: more subawards hidden in rows 50-64</t>
  </si>
  <si>
    <t>G5200</t>
  </si>
  <si>
    <t>UTSA Indirect Costs</t>
  </si>
  <si>
    <t>UTSA Indirect Cost (F&amp;A) Base</t>
  </si>
  <si>
    <t>Cost Share Commitment</t>
  </si>
  <si>
    <t>Cost Share %</t>
  </si>
  <si>
    <t xml:space="preserve">For NIH: </t>
  </si>
  <si>
    <t>Direct Cost Minus (-) Subrecipient/Consortium F&amp;A</t>
  </si>
  <si>
    <t>Subrecipient/Consortium F&amp;A</t>
  </si>
  <si>
    <t xml:space="preserve">Justification : </t>
  </si>
  <si>
    <t>subaward detail hidden below rows 80 to 161</t>
  </si>
  <si>
    <t>G4160</t>
  </si>
  <si>
    <t>G5180</t>
  </si>
  <si>
    <t>G4170</t>
  </si>
  <si>
    <t>G5190</t>
  </si>
  <si>
    <t>G4180</t>
  </si>
  <si>
    <t>The equations in the sheets are protected</t>
  </si>
  <si>
    <t>To unprotect a sheet</t>
  </si>
  <si>
    <t>1. In the review tab, select Unprotect Sheet</t>
  </si>
  <si>
    <t>2. Enter the password</t>
  </si>
  <si>
    <t>To protect a sheet</t>
  </si>
  <si>
    <t>2. Make sure the following are selected</t>
  </si>
  <si>
    <t>Select locked cells</t>
  </si>
  <si>
    <t>Select unlocked cells</t>
  </si>
  <si>
    <t>Format rows</t>
  </si>
  <si>
    <t>Insert rows</t>
  </si>
  <si>
    <t>Edit objects</t>
  </si>
  <si>
    <t>Edit scenarios</t>
  </si>
  <si>
    <t>3. Enter the password</t>
  </si>
  <si>
    <t>4. Reenter the password</t>
  </si>
  <si>
    <t>PeopleSoft Proposal ID:</t>
  </si>
  <si>
    <t>Sponsor Award Number:</t>
  </si>
  <si>
    <t>Detailed Budget Sheet</t>
  </si>
  <si>
    <t>From</t>
  </si>
  <si>
    <t>To</t>
  </si>
  <si>
    <t>Budget Period Number:</t>
  </si>
  <si>
    <t>Budget Period:</t>
  </si>
  <si>
    <t>Complete detailed budget sheet if fixed price contract award or no detailed line item budget provided.</t>
  </si>
  <si>
    <t xml:space="preserve">Award Total </t>
  </si>
  <si>
    <t>Amount</t>
  </si>
  <si>
    <t>Project ID</t>
  </si>
  <si>
    <t>G4010</t>
  </si>
  <si>
    <t>L4 Salaries</t>
  </si>
  <si>
    <t>L4 SubK &lt;$25K</t>
  </si>
  <si>
    <t>G4020</t>
  </si>
  <si>
    <t>L4 Fringe Benefits</t>
  </si>
  <si>
    <t>L4 SubK &gt;$25K</t>
  </si>
  <si>
    <t>G4110</t>
  </si>
  <si>
    <t>L4 Travel - Domestic</t>
  </si>
  <si>
    <t>L4 F&amp;A</t>
  </si>
  <si>
    <t>G4120</t>
  </si>
  <si>
    <t>L4 Travel - Foreign</t>
  </si>
  <si>
    <t>G4030</t>
  </si>
  <si>
    <t>L4 Construction</t>
  </si>
  <si>
    <t>G4040</t>
  </si>
  <si>
    <t>L4 Equipment Fabrication</t>
  </si>
  <si>
    <t>G4050</t>
  </si>
  <si>
    <t>L4 Equipment Capital</t>
  </si>
  <si>
    <t>G4060</t>
  </si>
  <si>
    <t>L4 Curation (L5 only)</t>
  </si>
  <si>
    <t>G4070</t>
  </si>
  <si>
    <t>L4 Consultants</t>
  </si>
  <si>
    <t>G4080</t>
  </si>
  <si>
    <t>L4 Office Services (L5 Only)</t>
  </si>
  <si>
    <t>G4090</t>
  </si>
  <si>
    <t>L4 Other Direct Costs</t>
  </si>
  <si>
    <t>G4100</t>
  </si>
  <si>
    <t>L4 Rentals &amp; Leases</t>
  </si>
  <si>
    <t>G4105</t>
  </si>
  <si>
    <t>L4 Rental Equipment</t>
  </si>
  <si>
    <t>G4130</t>
  </si>
  <si>
    <t>L4 Participant Expenses</t>
  </si>
  <si>
    <t>G4140</t>
  </si>
  <si>
    <t>L4 Scholarships &amp; Fellowships</t>
  </si>
  <si>
    <t>G4150</t>
  </si>
  <si>
    <t>L4 Tuition &amp; Fees</t>
  </si>
  <si>
    <t>Other (F&amp;A Excluded)</t>
  </si>
  <si>
    <t>other subawards hidden below</t>
  </si>
  <si>
    <t>Primary Project</t>
  </si>
  <si>
    <t>L5 Salaries</t>
  </si>
  <si>
    <t>L5 Fringe Benefits</t>
  </si>
  <si>
    <t>L5 SubK &lt;$25K</t>
  </si>
  <si>
    <t>L5 Travel - Domestic</t>
  </si>
  <si>
    <t>L5 SubK &gt;$25K</t>
  </si>
  <si>
    <t>L5 Travel - Foreign</t>
  </si>
  <si>
    <t>L5 F&amp;A</t>
  </si>
  <si>
    <t>L5 Construction</t>
  </si>
  <si>
    <t>L5 Equipment Fabrication</t>
  </si>
  <si>
    <t>L5 Equipment Capital</t>
  </si>
  <si>
    <t>L5 Curation</t>
  </si>
  <si>
    <t>L5 Consultants</t>
  </si>
  <si>
    <t>L5 Office Services</t>
  </si>
  <si>
    <t>L5 Other Direct Costs</t>
  </si>
  <si>
    <t>L5 Mileage Expenses</t>
  </si>
  <si>
    <t>L5 Rentals &amp; Leases</t>
  </si>
  <si>
    <t>L5 Rental Equipment</t>
  </si>
  <si>
    <t>L5 Participant Expenses</t>
  </si>
  <si>
    <t>L5 Participant Travel</t>
  </si>
  <si>
    <t>L5 Scholarships &amp; Fellowships</t>
  </si>
  <si>
    <t>L5 Tuition &amp; Fees</t>
  </si>
  <si>
    <t>Award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</si>
</sst>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_(&quot;$&quot;* #,##0_);_(&quot;$&quot;* \(#,##0\);_(&quot;$&quot;* &quot;-&quot;??_);_(@_)"/>
    <numFmt numFmtId="167" formatCode="#0.##;#0.##;\-"/>
    <numFmt numFmtId="168" formatCode=";;;@"/>
    <numFmt numFmtId="169" formatCode="mm/dd/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2"/>
      <color rgb="FF002060"/>
      <name val="Arial"/>
      <family val="2"/>
    </font>
    <font>
      <b/>
      <i/>
      <sz val="10"/>
      <color theme="9" tint="-0.249977111117893"/>
      <name val="Arial"/>
      <family val="2"/>
    </font>
    <font>
      <b/>
      <u/>
      <sz val="9"/>
      <name val="Arial"/>
      <family val="2"/>
    </font>
    <font>
      <b/>
      <sz val="10"/>
      <color rgb="FFFF0000"/>
      <name val="Arial"/>
      <family val="2"/>
    </font>
    <font>
      <b/>
      <sz val="10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b/>
      <i/>
      <sz val="8"/>
      <name val="Arial"/>
      <family val="2"/>
    </font>
    <font>
      <i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4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9" fontId="13" fillId="0" borderId="0" applyFont="0" applyFill="0" applyBorder="0" applyAlignment="0" applyProtection="0"/>
    <xf numFmtId="0" fontId="4" fillId="0" borderId="0"/>
    <xf numFmtId="0" fontId="3" fillId="0" borderId="0"/>
    <xf numFmtId="44" fontId="2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</cellStyleXfs>
  <cellXfs count="629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locked="0" hidden="1"/>
    </xf>
    <xf numFmtId="168" fontId="5" fillId="2" borderId="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10" fontId="5" fillId="5" borderId="4" xfId="0" applyNumberFormat="1" applyFont="1" applyFill="1" applyBorder="1" applyAlignment="1">
      <alignment horizontal="center"/>
    </xf>
    <xf numFmtId="166" fontId="5" fillId="5" borderId="15" xfId="0" applyNumberFormat="1" applyFont="1" applyFill="1" applyBorder="1" applyAlignment="1">
      <alignment horizontal="center"/>
    </xf>
    <xf numFmtId="166" fontId="5" fillId="2" borderId="35" xfId="0" applyNumberFormat="1" applyFont="1" applyFill="1" applyBorder="1" applyAlignment="1" applyProtection="1">
      <alignment horizontal="center"/>
      <protection locked="0"/>
    </xf>
    <xf numFmtId="166" fontId="5" fillId="2" borderId="38" xfId="0" applyNumberFormat="1" applyFont="1" applyFill="1" applyBorder="1" applyAlignment="1" applyProtection="1">
      <alignment horizontal="center"/>
      <protection locked="0"/>
    </xf>
    <xf numFmtId="166" fontId="5" fillId="0" borderId="31" xfId="0" applyNumberFormat="1" applyFont="1" applyBorder="1" applyAlignment="1" applyProtection="1">
      <alignment horizontal="center"/>
      <protection locked="0"/>
    </xf>
    <xf numFmtId="166" fontId="5" fillId="0" borderId="38" xfId="0" applyNumberFormat="1" applyFont="1" applyBorder="1" applyAlignment="1" applyProtection="1">
      <alignment horizontal="center"/>
      <protection locked="0"/>
    </xf>
    <xf numFmtId="166" fontId="5" fillId="0" borderId="35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6" fontId="5" fillId="2" borderId="31" xfId="0" applyNumberFormat="1" applyFont="1" applyFill="1" applyBorder="1" applyAlignment="1" applyProtection="1">
      <alignment horizontal="center"/>
      <protection locked="0"/>
    </xf>
    <xf numFmtId="166" fontId="5" fillId="0" borderId="45" xfId="0" applyNumberFormat="1" applyFont="1" applyBorder="1" applyAlignment="1" applyProtection="1">
      <alignment horizontal="center"/>
      <protection locked="0"/>
    </xf>
    <xf numFmtId="0" fontId="17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166" fontId="5" fillId="5" borderId="4" xfId="0" applyNumberFormat="1" applyFont="1" applyFill="1" applyBorder="1" applyAlignment="1">
      <alignment horizontal="left"/>
    </xf>
    <xf numFmtId="166" fontId="5" fillId="5" borderId="15" xfId="0" applyNumberFormat="1" applyFont="1" applyFill="1" applyBorder="1" applyAlignment="1">
      <alignment horizontal="left"/>
    </xf>
    <xf numFmtId="0" fontId="6" fillId="2" borderId="1" xfId="0" applyFont="1" applyFill="1" applyBorder="1" applyAlignment="1" applyProtection="1">
      <alignment horizontal="left"/>
      <protection locked="0"/>
    </xf>
    <xf numFmtId="166" fontId="5" fillId="0" borderId="41" xfId="0" applyNumberFormat="1" applyFont="1" applyBorder="1" applyAlignment="1" applyProtection="1">
      <alignment horizontal="center"/>
      <protection locked="0"/>
    </xf>
    <xf numFmtId="166" fontId="0" fillId="0" borderId="0" xfId="0" applyNumberFormat="1" applyProtection="1">
      <protection locked="0"/>
    </xf>
    <xf numFmtId="0" fontId="14" fillId="3" borderId="26" xfId="0" applyFont="1" applyFill="1" applyBorder="1" applyProtection="1">
      <protection locked="0"/>
    </xf>
    <xf numFmtId="0" fontId="8" fillId="3" borderId="21" xfId="0" applyFont="1" applyFill="1" applyBorder="1" applyAlignment="1" applyProtection="1">
      <alignment wrapText="1"/>
      <protection locked="0"/>
    </xf>
    <xf numFmtId="0" fontId="14" fillId="3" borderId="17" xfId="0" applyFont="1" applyFill="1" applyBorder="1" applyProtection="1">
      <protection locked="0"/>
    </xf>
    <xf numFmtId="2" fontId="5" fillId="0" borderId="4" xfId="28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 hidden="1"/>
    </xf>
    <xf numFmtId="0" fontId="21" fillId="0" borderId="0" xfId="0" applyFont="1" applyProtection="1">
      <protection locked="0"/>
    </xf>
    <xf numFmtId="166" fontId="5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5" fontId="20" fillId="0" borderId="0" xfId="0" applyNumberFormat="1" applyFont="1" applyAlignment="1" applyProtection="1">
      <alignment horizontal="right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4" fontId="0" fillId="3" borderId="0" xfId="0" applyNumberFormat="1" applyFill="1" applyProtection="1">
      <protection locked="0"/>
    </xf>
    <xf numFmtId="166" fontId="6" fillId="4" borderId="53" xfId="0" applyNumberFormat="1" applyFont="1" applyFill="1" applyBorder="1" applyAlignment="1" applyProtection="1">
      <alignment horizontal="right"/>
      <protection locked="0"/>
    </xf>
    <xf numFmtId="0" fontId="22" fillId="3" borderId="0" xfId="30" applyFont="1" applyFill="1" applyAlignment="1">
      <alignment horizontal="right"/>
    </xf>
    <xf numFmtId="0" fontId="3" fillId="3" borderId="0" xfId="30" applyFill="1"/>
    <xf numFmtId="0" fontId="23" fillId="3" borderId="0" xfId="30" applyFont="1" applyFill="1"/>
    <xf numFmtId="0" fontId="22" fillId="3" borderId="0" xfId="30" applyFont="1" applyFill="1" applyAlignment="1">
      <alignment horizontal="center"/>
    </xf>
    <xf numFmtId="0" fontId="24" fillId="3" borderId="0" xfId="30" applyFont="1" applyFill="1" applyAlignment="1">
      <alignment horizontal="center"/>
    </xf>
    <xf numFmtId="0" fontId="22" fillId="3" borderId="0" xfId="30" applyFont="1" applyFill="1"/>
    <xf numFmtId="169" fontId="24" fillId="3" borderId="0" xfId="30" applyNumberFormat="1" applyFont="1" applyFill="1"/>
    <xf numFmtId="0" fontId="25" fillId="3" borderId="0" xfId="30" applyFont="1" applyFill="1"/>
    <xf numFmtId="0" fontId="26" fillId="3" borderId="0" xfId="30" applyFont="1" applyFill="1" applyAlignment="1">
      <alignment horizontal="left"/>
    </xf>
    <xf numFmtId="39" fontId="24" fillId="3" borderId="0" xfId="30" applyNumberFormat="1" applyFont="1" applyFill="1"/>
    <xf numFmtId="0" fontId="3" fillId="3" borderId="0" xfId="30" applyFill="1" applyAlignment="1">
      <alignment horizontal="right"/>
    </xf>
    <xf numFmtId="0" fontId="3" fillId="3" borderId="14" xfId="30" applyFill="1" applyBorder="1"/>
    <xf numFmtId="0" fontId="3" fillId="3" borderId="0" xfId="30" applyFill="1" applyAlignment="1">
      <alignment horizontal="left"/>
    </xf>
    <xf numFmtId="37" fontId="24" fillId="3" borderId="14" xfId="30" applyNumberFormat="1" applyFont="1" applyFill="1" applyBorder="1"/>
    <xf numFmtId="37" fontId="24" fillId="3" borderId="1" xfId="30" applyNumberFormat="1" applyFont="1" applyFill="1" applyBorder="1"/>
    <xf numFmtId="0" fontId="5" fillId="3" borderId="0" xfId="0" applyFont="1" applyFill="1" applyProtection="1">
      <protection locked="0"/>
    </xf>
    <xf numFmtId="0" fontId="14" fillId="3" borderId="0" xfId="0" applyFont="1" applyFill="1" applyAlignment="1" applyProtection="1">
      <alignment horizontal="right"/>
      <protection locked="0"/>
    </xf>
    <xf numFmtId="4" fontId="14" fillId="3" borderId="0" xfId="0" applyNumberFormat="1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wrapText="1"/>
      <protection locked="0"/>
    </xf>
    <xf numFmtId="0" fontId="6" fillId="3" borderId="21" xfId="0" applyFont="1" applyFill="1" applyBorder="1" applyAlignment="1" applyProtection="1">
      <alignment wrapText="1"/>
      <protection locked="0"/>
    </xf>
    <xf numFmtId="39" fontId="24" fillId="3" borderId="14" xfId="30" applyNumberFormat="1" applyFont="1" applyFill="1" applyBorder="1"/>
    <xf numFmtId="169" fontId="24" fillId="3" borderId="14" xfId="30" applyNumberFormat="1" applyFont="1" applyFill="1" applyBorder="1" applyAlignment="1">
      <alignment horizontal="center"/>
    </xf>
    <xf numFmtId="0" fontId="3" fillId="3" borderId="0" xfId="30" applyFill="1" applyAlignment="1">
      <alignment horizontal="center"/>
    </xf>
    <xf numFmtId="0" fontId="5" fillId="2" borderId="4" xfId="0" applyFont="1" applyFill="1" applyBorder="1" applyAlignment="1" applyProtection="1">
      <alignment horizontal="center"/>
      <protection locked="0"/>
    </xf>
    <xf numFmtId="4" fontId="5" fillId="4" borderId="63" xfId="0" applyNumberFormat="1" applyFont="1" applyFill="1" applyBorder="1" applyAlignment="1" applyProtection="1">
      <alignment horizontal="center" wrapText="1"/>
      <protection locked="0"/>
    </xf>
    <xf numFmtId="0" fontId="24" fillId="0" borderId="14" xfId="30" applyFont="1" applyBorder="1" applyAlignment="1">
      <alignment horizontal="center"/>
    </xf>
    <xf numFmtId="0" fontId="3" fillId="3" borderId="6" xfId="30" applyFill="1" applyBorder="1"/>
    <xf numFmtId="37" fontId="24" fillId="3" borderId="0" xfId="30" applyNumberFormat="1" applyFont="1" applyFill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37" fontId="24" fillId="3" borderId="6" xfId="30" applyNumberFormat="1" applyFont="1" applyFill="1" applyBorder="1"/>
    <xf numFmtId="0" fontId="26" fillId="3" borderId="6" xfId="30" applyFont="1" applyFill="1" applyBorder="1" applyAlignment="1">
      <alignment horizontal="left"/>
    </xf>
    <xf numFmtId="14" fontId="24" fillId="3" borderId="14" xfId="30" applyNumberFormat="1" applyFont="1" applyFill="1" applyBorder="1" applyAlignment="1">
      <alignment horizontal="center"/>
    </xf>
    <xf numFmtId="14" fontId="3" fillId="3" borderId="0" xfId="30" applyNumberFormat="1" applyFill="1" applyAlignment="1">
      <alignment horizontal="center"/>
    </xf>
    <xf numFmtId="0" fontId="26" fillId="3" borderId="0" xfId="30" applyFont="1" applyFill="1"/>
    <xf numFmtId="37" fontId="3" fillId="3" borderId="0" xfId="30" applyNumberFormat="1" applyFill="1"/>
    <xf numFmtId="0" fontId="3" fillId="3" borderId="43" xfId="30" applyFill="1" applyBorder="1"/>
    <xf numFmtId="0" fontId="3" fillId="3" borderId="3" xfId="30" applyFill="1" applyBorder="1"/>
    <xf numFmtId="37" fontId="24" fillId="3" borderId="8" xfId="30" applyNumberFormat="1" applyFont="1" applyFill="1" applyBorder="1"/>
    <xf numFmtId="0" fontId="3" fillId="3" borderId="7" xfId="30" applyFill="1" applyBorder="1"/>
    <xf numFmtId="0" fontId="3" fillId="3" borderId="6" xfId="30" applyFill="1" applyBorder="1" applyAlignment="1">
      <alignment horizontal="right"/>
    </xf>
    <xf numFmtId="39" fontId="24" fillId="3" borderId="9" xfId="30" applyNumberFormat="1" applyFont="1" applyFill="1" applyBorder="1"/>
    <xf numFmtId="39" fontId="24" fillId="3" borderId="2" xfId="30" applyNumberFormat="1" applyFont="1" applyFill="1" applyBorder="1"/>
    <xf numFmtId="0" fontId="3" fillId="3" borderId="9" xfId="30" applyFill="1" applyBorder="1"/>
    <xf numFmtId="0" fontId="3" fillId="6" borderId="43" xfId="30" applyFill="1" applyBorder="1"/>
    <xf numFmtId="0" fontId="26" fillId="6" borderId="6" xfId="30" applyFont="1" applyFill="1" applyBorder="1" applyAlignment="1">
      <alignment horizontal="left"/>
    </xf>
    <xf numFmtId="39" fontId="24" fillId="6" borderId="2" xfId="30" applyNumberFormat="1" applyFont="1" applyFill="1" applyBorder="1"/>
    <xf numFmtId="0" fontId="26" fillId="6" borderId="0" xfId="30" applyFont="1" applyFill="1" applyAlignment="1">
      <alignment horizontal="left"/>
    </xf>
    <xf numFmtId="37" fontId="24" fillId="6" borderId="8" xfId="30" applyNumberFormat="1" applyFont="1" applyFill="1" applyBorder="1"/>
    <xf numFmtId="0" fontId="3" fillId="6" borderId="7" xfId="30" applyFill="1" applyBorder="1"/>
    <xf numFmtId="0" fontId="26" fillId="6" borderId="14" xfId="30" applyFont="1" applyFill="1" applyBorder="1" applyAlignment="1">
      <alignment horizontal="left"/>
    </xf>
    <xf numFmtId="37" fontId="24" fillId="6" borderId="2" xfId="30" applyNumberFormat="1" applyFont="1" applyFill="1" applyBorder="1"/>
    <xf numFmtId="0" fontId="3" fillId="6" borderId="14" xfId="30" applyFill="1" applyBorder="1" applyAlignment="1">
      <alignment horizontal="left"/>
    </xf>
    <xf numFmtId="0" fontId="3" fillId="3" borderId="2" xfId="30" applyFill="1" applyBorder="1"/>
    <xf numFmtId="49" fontId="26" fillId="3" borderId="3" xfId="30" applyNumberFormat="1" applyFont="1" applyFill="1" applyBorder="1" applyAlignment="1">
      <alignment horizontal="left"/>
    </xf>
    <xf numFmtId="0" fontId="26" fillId="3" borderId="18" xfId="30" applyFont="1" applyFill="1" applyBorder="1" applyAlignment="1">
      <alignment horizontal="left"/>
    </xf>
    <xf numFmtId="0" fontId="25" fillId="3" borderId="43" xfId="30" applyFont="1" applyFill="1" applyBorder="1"/>
    <xf numFmtId="0" fontId="25" fillId="3" borderId="3" xfId="30" applyFont="1" applyFill="1" applyBorder="1"/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31" fillId="3" borderId="0" xfId="27" applyFont="1" applyFill="1"/>
    <xf numFmtId="0" fontId="5" fillId="3" borderId="0" xfId="27" applyFill="1"/>
    <xf numFmtId="0" fontId="32" fillId="3" borderId="0" xfId="27" applyFont="1" applyFill="1"/>
    <xf numFmtId="0" fontId="33" fillId="3" borderId="0" xfId="27" applyFont="1" applyFill="1"/>
    <xf numFmtId="0" fontId="5" fillId="3" borderId="14" xfId="27" applyFill="1" applyBorder="1"/>
    <xf numFmtId="0" fontId="5" fillId="3" borderId="0" xfId="27" applyFill="1" applyAlignment="1">
      <alignment horizontal="right"/>
    </xf>
    <xf numFmtId="0" fontId="5" fillId="3" borderId="6" xfId="27" applyFill="1" applyBorder="1"/>
    <xf numFmtId="0" fontId="9" fillId="3" borderId="0" xfId="32" applyFill="1"/>
    <xf numFmtId="0" fontId="23" fillId="3" borderId="0" xfId="33" applyFont="1" applyFill="1"/>
    <xf numFmtId="0" fontId="2" fillId="3" borderId="0" xfId="33" applyFill="1"/>
    <xf numFmtId="0" fontId="0" fillId="6" borderId="0" xfId="0" applyFill="1" applyProtection="1">
      <protection locked="0"/>
    </xf>
    <xf numFmtId="0" fontId="5" fillId="0" borderId="0" xfId="0" applyFont="1" applyProtection="1">
      <protection locked="0" hidden="1"/>
    </xf>
    <xf numFmtId="14" fontId="0" fillId="0" borderId="0" xfId="0" applyNumberFormat="1" applyProtection="1">
      <protection locked="0"/>
    </xf>
    <xf numFmtId="9" fontId="6" fillId="0" borderId="0" xfId="0" applyNumberFormat="1" applyFont="1" applyAlignment="1" applyProtection="1">
      <alignment horizontal="right" wrapText="1"/>
      <protection locked="0"/>
    </xf>
    <xf numFmtId="10" fontId="6" fillId="0" borderId="0" xfId="0" applyNumberFormat="1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wrapText="1"/>
      <protection locked="0"/>
    </xf>
    <xf numFmtId="166" fontId="6" fillId="0" borderId="0" xfId="0" applyNumberFormat="1" applyFont="1" applyAlignment="1" applyProtection="1">
      <alignment horizontal="right" wrapText="1"/>
      <protection locked="0"/>
    </xf>
    <xf numFmtId="165" fontId="6" fillId="0" borderId="1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textRotation="90"/>
      <protection locked="0"/>
    </xf>
    <xf numFmtId="0" fontId="11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166" fontId="5" fillId="0" borderId="0" xfId="1" applyNumberFormat="1" applyFont="1" applyFill="1" applyBorder="1" applyAlignment="1" applyProtection="1">
      <protection locked="0"/>
    </xf>
    <xf numFmtId="0" fontId="34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Protection="1">
      <protection locked="0"/>
    </xf>
    <xf numFmtId="0" fontId="14" fillId="3" borderId="21" xfId="0" applyFont="1" applyFill="1" applyBorder="1" applyProtection="1">
      <protection locked="0"/>
    </xf>
    <xf numFmtId="0" fontId="6" fillId="4" borderId="19" xfId="0" applyFont="1" applyFill="1" applyBorder="1" applyAlignment="1" applyProtection="1">
      <alignment horizontal="right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3" borderId="50" xfId="0" applyFont="1" applyFill="1" applyBorder="1" applyAlignment="1" applyProtection="1">
      <alignment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3" borderId="52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5" fillId="3" borderId="47" xfId="0" applyFont="1" applyFill="1" applyBorder="1" applyAlignment="1" applyProtection="1">
      <alignment vertical="center"/>
      <protection locked="0"/>
    </xf>
    <xf numFmtId="8" fontId="5" fillId="0" borderId="0" xfId="0" applyNumberFormat="1" applyFont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vertical="center"/>
      <protection locked="0"/>
    </xf>
    <xf numFmtId="0" fontId="5" fillId="3" borderId="30" xfId="0" applyFont="1" applyFill="1" applyBorder="1" applyAlignment="1" applyProtection="1">
      <alignment vertical="center"/>
      <protection locked="0"/>
    </xf>
    <xf numFmtId="164" fontId="21" fillId="0" borderId="0" xfId="0" applyNumberFormat="1" applyFont="1" applyAlignment="1" applyProtection="1">
      <alignment horizontal="center"/>
      <protection locked="0"/>
    </xf>
    <xf numFmtId="166" fontId="6" fillId="4" borderId="16" xfId="0" applyNumberFormat="1" applyFont="1" applyFill="1" applyBorder="1" applyAlignment="1" applyProtection="1">
      <alignment horizontal="center"/>
      <protection locked="0"/>
    </xf>
    <xf numFmtId="4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31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wrapText="1"/>
      <protection locked="0"/>
    </xf>
    <xf numFmtId="166" fontId="5" fillId="0" borderId="11" xfId="0" applyNumberFormat="1" applyFont="1" applyBorder="1" applyAlignment="1" applyProtection="1">
      <alignment horizontal="center"/>
      <protection locked="0"/>
    </xf>
    <xf numFmtId="44" fontId="5" fillId="0" borderId="11" xfId="0" applyNumberFormat="1" applyFont="1" applyBorder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166" fontId="6" fillId="0" borderId="0" xfId="0" applyNumberFormat="1" applyFont="1" applyAlignment="1" applyProtection="1">
      <alignment horizontal="center"/>
      <protection locked="0"/>
    </xf>
    <xf numFmtId="166" fontId="6" fillId="4" borderId="44" xfId="0" applyNumberFormat="1" applyFont="1" applyFill="1" applyBorder="1" applyAlignment="1" applyProtection="1">
      <alignment horizontal="center"/>
      <protection locked="0"/>
    </xf>
    <xf numFmtId="166" fontId="5" fillId="3" borderId="15" xfId="0" applyNumberFormat="1" applyFont="1" applyFill="1" applyBorder="1" applyAlignment="1" applyProtection="1">
      <alignment horizontal="center"/>
      <protection locked="0"/>
    </xf>
    <xf numFmtId="166" fontId="6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6" fontId="14" fillId="0" borderId="0" xfId="0" applyNumberFormat="1" applyFont="1" applyProtection="1">
      <protection locked="0"/>
    </xf>
    <xf numFmtId="166" fontId="5" fillId="0" borderId="0" xfId="1" applyNumberFormat="1" applyFont="1" applyFill="1" applyBorder="1" applyAlignment="1" applyProtection="1">
      <alignment horizontal="center"/>
      <protection locked="0"/>
    </xf>
    <xf numFmtId="0" fontId="5" fillId="3" borderId="66" xfId="0" applyFont="1" applyFill="1" applyBorder="1" applyAlignment="1" applyProtection="1">
      <alignment vertical="center"/>
      <protection locked="0"/>
    </xf>
    <xf numFmtId="0" fontId="5" fillId="0" borderId="0" xfId="0" applyFont="1"/>
    <xf numFmtId="0" fontId="6" fillId="3" borderId="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8" xfId="0" applyFont="1" applyFill="1" applyBorder="1" applyAlignment="1">
      <alignment horizontal="center"/>
    </xf>
    <xf numFmtId="14" fontId="6" fillId="3" borderId="0" xfId="0" applyNumberFormat="1" applyFont="1" applyFill="1" applyAlignment="1">
      <alignment horizontal="right"/>
    </xf>
    <xf numFmtId="14" fontId="6" fillId="3" borderId="0" xfId="0" applyNumberFormat="1" applyFont="1" applyFill="1" applyAlignment="1">
      <alignment horizontal="center"/>
    </xf>
    <xf numFmtId="14" fontId="6" fillId="3" borderId="18" xfId="0" applyNumberFormat="1" applyFont="1" applyFill="1" applyBorder="1" applyAlignment="1">
      <alignment horizontal="center"/>
    </xf>
    <xf numFmtId="0" fontId="6" fillId="3" borderId="14" xfId="0" applyFont="1" applyFill="1" applyBorder="1"/>
    <xf numFmtId="0" fontId="5" fillId="3" borderId="8" xfId="0" applyFont="1" applyFill="1" applyBorder="1"/>
    <xf numFmtId="0" fontId="5" fillId="3" borderId="0" xfId="0" applyFont="1" applyFill="1"/>
    <xf numFmtId="0" fontId="5" fillId="4" borderId="4" xfId="0" applyFont="1" applyFill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right"/>
    </xf>
    <xf numFmtId="166" fontId="5" fillId="4" borderId="11" xfId="31" applyNumberFormat="1" applyFont="1" applyFill="1" applyBorder="1" applyProtection="1"/>
    <xf numFmtId="0" fontId="28" fillId="3" borderId="5" xfId="30" applyFont="1" applyFill="1" applyBorder="1"/>
    <xf numFmtId="0" fontId="28" fillId="3" borderId="1" xfId="30" applyFont="1" applyFill="1" applyBorder="1"/>
    <xf numFmtId="166" fontId="28" fillId="3" borderId="4" xfId="31" applyNumberFormat="1" applyFont="1" applyFill="1" applyBorder="1" applyProtection="1"/>
    <xf numFmtId="166" fontId="5" fillId="3" borderId="4" xfId="31" applyNumberFormat="1" applyFont="1" applyFill="1" applyBorder="1" applyProtection="1"/>
    <xf numFmtId="0" fontId="28" fillId="4" borderId="2" xfId="30" applyFont="1" applyFill="1" applyBorder="1" applyAlignment="1">
      <alignment horizontal="right"/>
    </xf>
    <xf numFmtId="166" fontId="28" fillId="4" borderId="4" xfId="31" applyNumberFormat="1" applyFont="1" applyFill="1" applyBorder="1" applyProtection="1"/>
    <xf numFmtId="166" fontId="5" fillId="4" borderId="4" xfId="31" applyNumberFormat="1" applyFont="1" applyFill="1" applyBorder="1" applyProtection="1"/>
    <xf numFmtId="0" fontId="28" fillId="0" borderId="5" xfId="30" applyFont="1" applyBorder="1" applyAlignment="1">
      <alignment horizontal="center"/>
    </xf>
    <xf numFmtId="0" fontId="28" fillId="3" borderId="5" xfId="30" applyFont="1" applyFill="1" applyBorder="1" applyAlignment="1">
      <alignment horizontal="center"/>
    </xf>
    <xf numFmtId="0" fontId="28" fillId="3" borderId="1" xfId="30" applyFont="1" applyFill="1" applyBorder="1" applyAlignment="1">
      <alignment horizontal="center"/>
    </xf>
    <xf numFmtId="166" fontId="28" fillId="4" borderId="10" xfId="31" applyNumberFormat="1" applyFont="1" applyFill="1" applyBorder="1" applyProtection="1"/>
    <xf numFmtId="49" fontId="5" fillId="3" borderId="5" xfId="30" applyNumberFormat="1" applyFont="1" applyFill="1" applyBorder="1" applyAlignment="1">
      <alignment horizontal="left"/>
    </xf>
    <xf numFmtId="49" fontId="5" fillId="3" borderId="1" xfId="30" applyNumberFormat="1" applyFont="1" applyFill="1" applyBorder="1" applyAlignment="1">
      <alignment horizontal="left"/>
    </xf>
    <xf numFmtId="166" fontId="5" fillId="0" borderId="10" xfId="31" applyNumberFormat="1" applyFont="1" applyFill="1" applyBorder="1" applyProtection="1"/>
    <xf numFmtId="166" fontId="5" fillId="0" borderId="4" xfId="31" applyNumberFormat="1" applyFont="1" applyFill="1" applyBorder="1" applyProtection="1"/>
    <xf numFmtId="0" fontId="30" fillId="4" borderId="2" xfId="30" applyFont="1" applyFill="1" applyBorder="1" applyAlignment="1">
      <alignment horizontal="right" vertical="center"/>
    </xf>
    <xf numFmtId="166" fontId="30" fillId="4" borderId="4" xfId="31" applyNumberFormat="1" applyFont="1" applyFill="1" applyBorder="1" applyAlignment="1" applyProtection="1">
      <alignment vertical="center"/>
    </xf>
    <xf numFmtId="166" fontId="14" fillId="4" borderId="4" xfId="31" applyNumberFormat="1" applyFont="1" applyFill="1" applyBorder="1" applyAlignment="1" applyProtection="1">
      <alignment vertical="center"/>
    </xf>
    <xf numFmtId="0" fontId="28" fillId="3" borderId="6" xfId="30" applyFont="1" applyFill="1" applyBorder="1"/>
    <xf numFmtId="0" fontId="28" fillId="3" borderId="9" xfId="30" applyFont="1" applyFill="1" applyBorder="1"/>
    <xf numFmtId="166" fontId="28" fillId="3" borderId="10" xfId="31" applyNumberFormat="1" applyFont="1" applyFill="1" applyBorder="1" applyProtection="1"/>
    <xf numFmtId="0" fontId="28" fillId="3" borderId="43" xfId="30" applyFont="1" applyFill="1" applyBorder="1"/>
    <xf numFmtId="0" fontId="28" fillId="3" borderId="2" xfId="30" applyFont="1" applyFill="1" applyBorder="1"/>
    <xf numFmtId="0" fontId="5" fillId="4" borderId="2" xfId="0" applyFont="1" applyFill="1" applyBorder="1"/>
    <xf numFmtId="9" fontId="28" fillId="3" borderId="4" xfId="28" applyFont="1" applyFill="1" applyBorder="1" applyProtection="1"/>
    <xf numFmtId="9" fontId="5" fillId="3" borderId="4" xfId="28" applyFont="1" applyFill="1" applyBorder="1" applyProtection="1"/>
    <xf numFmtId="0" fontId="29" fillId="3" borderId="2" xfId="30" applyFont="1" applyFill="1" applyBorder="1" applyAlignment="1">
      <alignment horizontal="left"/>
    </xf>
    <xf numFmtId="0" fontId="29" fillId="4" borderId="2" xfId="30" applyFont="1" applyFill="1" applyBorder="1" applyAlignment="1">
      <alignment horizontal="left"/>
    </xf>
    <xf numFmtId="0" fontId="5" fillId="3" borderId="3" xfId="0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49" fontId="5" fillId="4" borderId="5" xfId="30" applyNumberFormat="1" applyFont="1" applyFill="1" applyBorder="1" applyAlignment="1">
      <alignment horizontal="left"/>
    </xf>
    <xf numFmtId="49" fontId="5" fillId="4" borderId="1" xfId="30" applyNumberFormat="1" applyFont="1" applyFill="1" applyBorder="1" applyAlignment="1">
      <alignment horizontal="left"/>
    </xf>
    <xf numFmtId="166" fontId="5" fillId="4" borderId="10" xfId="31" applyNumberFormat="1" applyFont="1" applyFill="1" applyBorder="1" applyProtection="1"/>
    <xf numFmtId="0" fontId="5" fillId="3" borderId="1" xfId="30" applyFont="1" applyFill="1" applyBorder="1" applyAlignment="1">
      <alignment horizontal="left"/>
    </xf>
    <xf numFmtId="0" fontId="5" fillId="3" borderId="2" xfId="30" applyFont="1" applyFill="1" applyBorder="1" applyAlignment="1">
      <alignment horizontal="left"/>
    </xf>
    <xf numFmtId="167" fontId="5" fillId="5" borderId="4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26" xfId="0" applyFont="1" applyBorder="1"/>
    <xf numFmtId="164" fontId="21" fillId="0" borderId="26" xfId="0" applyNumberFormat="1" applyFont="1" applyBorder="1" applyAlignment="1">
      <alignment horizontal="center"/>
    </xf>
    <xf numFmtId="0" fontId="21" fillId="0" borderId="58" xfId="0" applyFont="1" applyBorder="1"/>
    <xf numFmtId="0" fontId="21" fillId="0" borderId="28" xfId="0" applyFont="1" applyBorder="1"/>
    <xf numFmtId="0" fontId="21" fillId="0" borderId="24" xfId="0" applyFont="1" applyBorder="1"/>
    <xf numFmtId="0" fontId="21" fillId="0" borderId="17" xfId="0" applyFont="1" applyBorder="1"/>
    <xf numFmtId="0" fontId="21" fillId="0" borderId="21" xfId="0" applyFont="1" applyBorder="1"/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/>
    </xf>
    <xf numFmtId="14" fontId="5" fillId="5" borderId="0" xfId="0" applyNumberFormat="1" applyFont="1" applyFill="1" applyAlignment="1">
      <alignment horizontal="center"/>
    </xf>
    <xf numFmtId="0" fontId="18" fillId="5" borderId="0" xfId="0" applyFont="1" applyFill="1" applyAlignment="1">
      <alignment horizontal="center" vertical="center" textRotation="90"/>
    </xf>
    <xf numFmtId="164" fontId="21" fillId="0" borderId="0" xfId="0" applyNumberFormat="1" applyFont="1" applyAlignment="1">
      <alignment horizontal="center"/>
    </xf>
    <xf numFmtId="0" fontId="36" fillId="0" borderId="0" xfId="0" applyFont="1" applyProtection="1">
      <protection locked="0" hidden="1"/>
    </xf>
    <xf numFmtId="0" fontId="32" fillId="0" borderId="0" xfId="0" applyFont="1" applyProtection="1">
      <protection locked="0"/>
    </xf>
    <xf numFmtId="14" fontId="5" fillId="0" borderId="0" xfId="0" applyNumberFormat="1" applyFont="1" applyProtection="1">
      <protection locked="0"/>
    </xf>
    <xf numFmtId="0" fontId="34" fillId="3" borderId="28" xfId="0" applyFont="1" applyFill="1" applyBorder="1" applyAlignment="1" applyProtection="1">
      <alignment horizontal="center" vertical="center"/>
      <protection locked="0"/>
    </xf>
    <xf numFmtId="9" fontId="34" fillId="3" borderId="18" xfId="0" applyNumberFormat="1" applyFont="1" applyFill="1" applyBorder="1" applyAlignment="1" applyProtection="1">
      <alignment horizontal="left" vertical="center"/>
      <protection locked="0"/>
    </xf>
    <xf numFmtId="0" fontId="37" fillId="3" borderId="28" xfId="0" applyFont="1" applyFill="1" applyBorder="1" applyAlignment="1" applyProtection="1">
      <alignment horizontal="center" vertical="center"/>
      <protection locked="0"/>
    </xf>
    <xf numFmtId="0" fontId="37" fillId="3" borderId="0" xfId="0" applyFont="1" applyFill="1" applyAlignment="1" applyProtection="1">
      <alignment horizontal="center" vertical="center"/>
      <protection locked="0"/>
    </xf>
    <xf numFmtId="0" fontId="37" fillId="3" borderId="18" xfId="0" applyFont="1" applyFill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165" fontId="5" fillId="0" borderId="1" xfId="0" applyNumberFormat="1" applyFont="1" applyBorder="1" applyAlignment="1" applyProtection="1">
      <alignment horizontal="left" vertical="center" wrapText="1"/>
      <protection locked="0"/>
    </xf>
    <xf numFmtId="166" fontId="6" fillId="5" borderId="65" xfId="0" applyNumberFormat="1" applyFont="1" applyFill="1" applyBorder="1" applyProtection="1">
      <protection locked="0"/>
    </xf>
    <xf numFmtId="166" fontId="6" fillId="5" borderId="16" xfId="0" applyNumberFormat="1" applyFont="1" applyFill="1" applyBorder="1" applyAlignment="1" applyProtection="1">
      <alignment horizontal="center"/>
      <protection locked="0"/>
    </xf>
    <xf numFmtId="166" fontId="5" fillId="5" borderId="61" xfId="0" applyNumberFormat="1" applyFont="1" applyFill="1" applyBorder="1" applyAlignment="1" applyProtection="1">
      <alignment horizontal="center"/>
      <protection locked="0"/>
    </xf>
    <xf numFmtId="0" fontId="28" fillId="4" borderId="5" xfId="30" applyFont="1" applyFill="1" applyBorder="1"/>
    <xf numFmtId="0" fontId="28" fillId="4" borderId="1" xfId="30" applyFont="1" applyFill="1" applyBorder="1"/>
    <xf numFmtId="0" fontId="28" fillId="4" borderId="1" xfId="30" applyFont="1" applyFill="1" applyBorder="1" applyAlignment="1">
      <alignment horizontal="left"/>
    </xf>
    <xf numFmtId="0" fontId="28" fillId="4" borderId="2" xfId="30" applyFont="1" applyFill="1" applyBorder="1" applyAlignment="1">
      <alignment horizontal="left"/>
    </xf>
    <xf numFmtId="0" fontId="5" fillId="4" borderId="4" xfId="0" applyFont="1" applyFill="1" applyBorder="1" applyAlignment="1">
      <alignment horizontal="right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1" fillId="4" borderId="4" xfId="0" applyFont="1" applyFill="1" applyBorder="1" applyAlignment="1" applyProtection="1">
      <alignment horizontal="center" wrapText="1"/>
      <protection locked="0"/>
    </xf>
    <xf numFmtId="0" fontId="11" fillId="4" borderId="0" xfId="0" applyFont="1" applyFill="1" applyAlignment="1" applyProtection="1">
      <alignment horizontal="center" wrapText="1"/>
      <protection locked="0"/>
    </xf>
    <xf numFmtId="166" fontId="11" fillId="5" borderId="2" xfId="1" applyNumberFormat="1" applyFont="1" applyFill="1" applyBorder="1" applyAlignment="1" applyProtection="1">
      <alignment horizontal="center"/>
    </xf>
    <xf numFmtId="166" fontId="11" fillId="5" borderId="9" xfId="1" applyNumberFormat="1" applyFont="1" applyFill="1" applyBorder="1" applyAlignment="1" applyProtection="1">
      <alignment horizontal="center"/>
    </xf>
    <xf numFmtId="166" fontId="11" fillId="5" borderId="54" xfId="1" applyNumberFormat="1" applyFont="1" applyFill="1" applyBorder="1" applyAlignment="1" applyProtection="1">
      <alignment horizontal="center"/>
    </xf>
    <xf numFmtId="166" fontId="11" fillId="3" borderId="25" xfId="1" applyNumberFormat="1" applyFont="1" applyFill="1" applyBorder="1" applyAlignment="1" applyProtection="1">
      <protection locked="0"/>
    </xf>
    <xf numFmtId="0" fontId="11" fillId="3" borderId="26" xfId="0" applyFont="1" applyFill="1" applyBorder="1" applyProtection="1">
      <protection locked="0"/>
    </xf>
    <xf numFmtId="0" fontId="11" fillId="0" borderId="4" xfId="0" applyFont="1" applyBorder="1" applyAlignment="1" applyProtection="1">
      <alignment horizontal="right" vertical="center" wrapText="1"/>
      <protection locked="0"/>
    </xf>
    <xf numFmtId="14" fontId="14" fillId="3" borderId="0" xfId="0" applyNumberFormat="1" applyFont="1" applyFill="1" applyAlignment="1" applyProtection="1">
      <alignment horizontal="right"/>
      <protection locked="0"/>
    </xf>
    <xf numFmtId="14" fontId="14" fillId="3" borderId="0" xfId="0" applyNumberFormat="1" applyFont="1" applyFill="1" applyAlignment="1" applyProtection="1">
      <alignment horizontal="center"/>
      <protection locked="0"/>
    </xf>
    <xf numFmtId="0" fontId="5" fillId="3" borderId="68" xfId="0" applyFont="1" applyFill="1" applyBorder="1" applyAlignment="1" applyProtection="1">
      <alignment vertical="center"/>
      <protection locked="0"/>
    </xf>
    <xf numFmtId="8" fontId="0" fillId="0" borderId="0" xfId="0" applyNumberFormat="1" applyProtection="1"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166" fontId="5" fillId="7" borderId="4" xfId="0" applyNumberFormat="1" applyFont="1" applyFill="1" applyBorder="1" applyAlignment="1" applyProtection="1">
      <alignment horizontal="center"/>
      <protection locked="0"/>
    </xf>
    <xf numFmtId="166" fontId="5" fillId="0" borderId="15" xfId="0" applyNumberFormat="1" applyFont="1" applyBorder="1" applyAlignment="1" applyProtection="1">
      <alignment horizontal="center"/>
      <protection locked="0"/>
    </xf>
    <xf numFmtId="0" fontId="42" fillId="3" borderId="1" xfId="30" applyFont="1" applyFill="1" applyBorder="1"/>
    <xf numFmtId="0" fontId="42" fillId="3" borderId="2" xfId="30" applyFont="1" applyFill="1" applyBorder="1"/>
    <xf numFmtId="49" fontId="0" fillId="0" borderId="0" xfId="0" applyNumberFormat="1" applyProtection="1">
      <protection locked="0"/>
    </xf>
    <xf numFmtId="0" fontId="1" fillId="3" borderId="0" xfId="33" applyFont="1" applyFill="1"/>
    <xf numFmtId="0" fontId="1" fillId="3" borderId="0" xfId="30" applyFont="1" applyFill="1"/>
    <xf numFmtId="0" fontId="1" fillId="3" borderId="6" xfId="30" applyFont="1" applyFill="1" applyBorder="1" applyAlignment="1">
      <alignment horizontal="right"/>
    </xf>
    <xf numFmtId="0" fontId="1" fillId="3" borderId="0" xfId="30" applyFont="1" applyFill="1" applyAlignment="1">
      <alignment horizontal="right"/>
    </xf>
    <xf numFmtId="0" fontId="1" fillId="3" borderId="14" xfId="30" applyFont="1" applyFill="1" applyBorder="1"/>
    <xf numFmtId="0" fontId="1" fillId="6" borderId="6" xfId="30" applyFont="1" applyFill="1" applyBorder="1" applyAlignment="1">
      <alignment horizontal="right"/>
    </xf>
    <xf numFmtId="0" fontId="1" fillId="6" borderId="3" xfId="30" applyFont="1" applyFill="1" applyBorder="1"/>
    <xf numFmtId="0" fontId="1" fillId="6" borderId="0" xfId="30" applyFont="1" applyFill="1" applyAlignment="1">
      <alignment horizontal="left"/>
    </xf>
    <xf numFmtId="0" fontId="1" fillId="6" borderId="14" xfId="30" applyFont="1" applyFill="1" applyBorder="1"/>
    <xf numFmtId="0" fontId="1" fillId="3" borderId="0" xfId="30" applyFont="1" applyFill="1" applyAlignment="1">
      <alignment horizontal="left"/>
    </xf>
    <xf numFmtId="0" fontId="1" fillId="6" borderId="7" xfId="30" applyFont="1" applyFill="1" applyBorder="1"/>
    <xf numFmtId="8" fontId="21" fillId="8" borderId="26" xfId="0" applyNumberFormat="1" applyFont="1" applyFill="1" applyBorder="1"/>
    <xf numFmtId="9" fontId="21" fillId="8" borderId="26" xfId="28" applyFont="1" applyFill="1" applyBorder="1" applyAlignment="1" applyProtection="1">
      <alignment horizontal="center"/>
    </xf>
    <xf numFmtId="0" fontId="21" fillId="8" borderId="27" xfId="0" applyFont="1" applyFill="1" applyBorder="1"/>
    <xf numFmtId="0" fontId="21" fillId="8" borderId="0" xfId="0" applyFont="1" applyFill="1"/>
    <xf numFmtId="9" fontId="21" fillId="8" borderId="0" xfId="28" applyFont="1" applyFill="1" applyBorder="1" applyAlignment="1" applyProtection="1">
      <alignment horizontal="center"/>
    </xf>
    <xf numFmtId="0" fontId="21" fillId="8" borderId="41" xfId="0" applyFont="1" applyFill="1" applyBorder="1"/>
    <xf numFmtId="0" fontId="21" fillId="8" borderId="25" xfId="0" applyFont="1" applyFill="1" applyBorder="1"/>
    <xf numFmtId="0" fontId="21" fillId="9" borderId="0" xfId="0" applyFont="1" applyFill="1"/>
    <xf numFmtId="9" fontId="21" fillId="9" borderId="0" xfId="28" applyFont="1" applyFill="1" applyBorder="1" applyAlignment="1" applyProtection="1">
      <alignment horizontal="center"/>
    </xf>
    <xf numFmtId="0" fontId="21" fillId="9" borderId="41" xfId="0" applyFont="1" applyFill="1" applyBorder="1"/>
    <xf numFmtId="0" fontId="21" fillId="9" borderId="28" xfId="0" applyFont="1" applyFill="1" applyBorder="1"/>
    <xf numFmtId="0" fontId="21" fillId="10" borderId="28" xfId="0" applyFont="1" applyFill="1" applyBorder="1"/>
    <xf numFmtId="9" fontId="21" fillId="10" borderId="0" xfId="28" applyFont="1" applyFill="1" applyBorder="1" applyAlignment="1" applyProtection="1">
      <alignment horizontal="center"/>
    </xf>
    <xf numFmtId="0" fontId="21" fillId="10" borderId="41" xfId="0" applyFont="1" applyFill="1" applyBorder="1"/>
    <xf numFmtId="0" fontId="21" fillId="8" borderId="28" xfId="0" applyFont="1" applyFill="1" applyBorder="1"/>
    <xf numFmtId="0" fontId="21" fillId="11" borderId="28" xfId="0" applyFont="1" applyFill="1" applyBorder="1"/>
    <xf numFmtId="9" fontId="21" fillId="11" borderId="0" xfId="28" applyFont="1" applyFill="1" applyBorder="1" applyAlignment="1" applyProtection="1">
      <alignment horizontal="center"/>
    </xf>
    <xf numFmtId="0" fontId="21" fillId="11" borderId="41" xfId="0" applyFont="1" applyFill="1" applyBorder="1"/>
    <xf numFmtId="0" fontId="21" fillId="7" borderId="28" xfId="0" applyFont="1" applyFill="1" applyBorder="1"/>
    <xf numFmtId="9" fontId="21" fillId="7" borderId="0" xfId="28" applyFont="1" applyFill="1" applyBorder="1" applyAlignment="1" applyProtection="1">
      <alignment horizontal="center"/>
    </xf>
    <xf numFmtId="0" fontId="21" fillId="7" borderId="41" xfId="0" applyFont="1" applyFill="1" applyBorder="1"/>
    <xf numFmtId="8" fontId="21" fillId="8" borderId="0" xfId="0" applyNumberFormat="1" applyFont="1" applyFill="1"/>
    <xf numFmtId="8" fontId="21" fillId="9" borderId="0" xfId="0" applyNumberFormat="1" applyFont="1" applyFill="1"/>
    <xf numFmtId="8" fontId="21" fillId="10" borderId="0" xfId="0" applyNumberFormat="1" applyFont="1" applyFill="1"/>
    <xf numFmtId="0" fontId="21" fillId="10" borderId="0" xfId="0" applyFont="1" applyFill="1"/>
    <xf numFmtId="0" fontId="21" fillId="11" borderId="0" xfId="0" applyFont="1" applyFill="1"/>
    <xf numFmtId="0" fontId="21" fillId="7" borderId="0" xfId="0" applyFont="1" applyFill="1"/>
    <xf numFmtId="0" fontId="21" fillId="9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0" fontId="21" fillId="9" borderId="0" xfId="0" applyFont="1" applyFill="1" applyProtection="1">
      <protection locked="0"/>
    </xf>
    <xf numFmtId="0" fontId="21" fillId="10" borderId="0" xfId="0" applyFont="1" applyFill="1" applyProtection="1">
      <protection locked="0"/>
    </xf>
    <xf numFmtId="0" fontId="21" fillId="11" borderId="0" xfId="0" applyFont="1" applyFill="1" applyProtection="1">
      <protection locked="0"/>
    </xf>
    <xf numFmtId="0" fontId="21" fillId="9" borderId="26" xfId="0" applyFont="1" applyFill="1" applyBorder="1"/>
    <xf numFmtId="0" fontId="21" fillId="10" borderId="26" xfId="0" applyFont="1" applyFill="1" applyBorder="1"/>
    <xf numFmtId="0" fontId="21" fillId="11" borderId="26" xfId="0" applyFont="1" applyFill="1" applyBorder="1"/>
    <xf numFmtId="0" fontId="21" fillId="7" borderId="27" xfId="0" applyFont="1" applyFill="1" applyBorder="1"/>
    <xf numFmtId="0" fontId="21" fillId="8" borderId="28" xfId="0" applyFont="1" applyFill="1" applyBorder="1" applyAlignment="1">
      <alignment vertical="center"/>
    </xf>
    <xf numFmtId="0" fontId="21" fillId="8" borderId="28" xfId="0" applyFont="1" applyFill="1" applyBorder="1" applyProtection="1">
      <protection locked="0"/>
    </xf>
    <xf numFmtId="4" fontId="21" fillId="7" borderId="41" xfId="0" applyNumberFormat="1" applyFont="1" applyFill="1" applyBorder="1" applyProtection="1">
      <protection locked="0"/>
    </xf>
    <xf numFmtId="0" fontId="21" fillId="8" borderId="24" xfId="0" applyFont="1" applyFill="1" applyBorder="1"/>
    <xf numFmtId="0" fontId="21" fillId="9" borderId="21" xfId="0" applyFont="1" applyFill="1" applyBorder="1" applyAlignment="1">
      <alignment vertical="center"/>
    </xf>
    <xf numFmtId="0" fontId="21" fillId="10" borderId="21" xfId="0" applyFont="1" applyFill="1" applyBorder="1"/>
    <xf numFmtId="0" fontId="21" fillId="11" borderId="21" xfId="0" applyFont="1" applyFill="1" applyBorder="1"/>
    <xf numFmtId="0" fontId="21" fillId="7" borderId="17" xfId="0" applyFont="1" applyFill="1" applyBorder="1"/>
    <xf numFmtId="9" fontId="21" fillId="0" borderId="21" xfId="28" applyFont="1" applyFill="1" applyBorder="1" applyAlignment="1" applyProtection="1">
      <alignment horizontal="center"/>
    </xf>
    <xf numFmtId="4" fontId="21" fillId="7" borderId="0" xfId="0" applyNumberFormat="1" applyFont="1" applyFill="1" applyProtection="1">
      <protection locked="0"/>
    </xf>
    <xf numFmtId="0" fontId="21" fillId="7" borderId="21" xfId="0" applyFont="1" applyFill="1" applyBorder="1"/>
    <xf numFmtId="166" fontId="42" fillId="5" borderId="4" xfId="31" applyNumberFormat="1" applyFont="1" applyFill="1" applyBorder="1" applyProtection="1"/>
    <xf numFmtId="166" fontId="11" fillId="5" borderId="4" xfId="31" applyNumberFormat="1" applyFont="1" applyFill="1" applyBorder="1" applyProtection="1"/>
    <xf numFmtId="166" fontId="5" fillId="12" borderId="15" xfId="0" applyNumberFormat="1" applyFont="1" applyFill="1" applyBorder="1" applyAlignment="1" applyProtection="1">
      <alignment horizontal="center"/>
      <protection locked="0"/>
    </xf>
    <xf numFmtId="14" fontId="14" fillId="3" borderId="41" xfId="0" applyNumberFormat="1" applyFont="1" applyFill="1" applyBorder="1" applyAlignment="1" applyProtection="1">
      <alignment horizontal="center"/>
      <protection locked="0"/>
    </xf>
    <xf numFmtId="166" fontId="6" fillId="5" borderId="65" xfId="0" applyNumberFormat="1" applyFont="1" applyFill="1" applyBorder="1"/>
    <xf numFmtId="166" fontId="6" fillId="5" borderId="16" xfId="0" applyNumberFormat="1" applyFont="1" applyFill="1" applyBorder="1" applyAlignment="1">
      <alignment horizontal="center"/>
    </xf>
    <xf numFmtId="9" fontId="28" fillId="4" borderId="4" xfId="28" applyFont="1" applyFill="1" applyBorder="1" applyProtection="1"/>
    <xf numFmtId="9" fontId="5" fillId="4" borderId="4" xfId="28" applyFont="1" applyFill="1" applyBorder="1" applyProtection="1"/>
    <xf numFmtId="166" fontId="5" fillId="7" borderId="15" xfId="0" applyNumberFormat="1" applyFont="1" applyFill="1" applyBorder="1" applyAlignment="1">
      <alignment horizontal="center"/>
    </xf>
    <xf numFmtId="166" fontId="5" fillId="5" borderId="61" xfId="0" applyNumberFormat="1" applyFont="1" applyFill="1" applyBorder="1" applyAlignment="1">
      <alignment horizontal="center"/>
    </xf>
    <xf numFmtId="166" fontId="0" fillId="5" borderId="63" xfId="0" applyNumberFormat="1" applyFill="1" applyBorder="1"/>
    <xf numFmtId="166" fontId="11" fillId="5" borderId="4" xfId="0" applyNumberFormat="1" applyFont="1" applyFill="1" applyBorder="1"/>
    <xf numFmtId="166" fontId="0" fillId="5" borderId="64" xfId="0" applyNumberFormat="1" applyFill="1" applyBorder="1"/>
    <xf numFmtId="166" fontId="11" fillId="5" borderId="10" xfId="0" applyNumberFormat="1" applyFont="1" applyFill="1" applyBorder="1"/>
    <xf numFmtId="166" fontId="0" fillId="5" borderId="62" xfId="0" applyNumberFormat="1" applyFill="1" applyBorder="1"/>
    <xf numFmtId="166" fontId="11" fillId="5" borderId="13" xfId="0" applyNumberFormat="1" applyFont="1" applyFill="1" applyBorder="1"/>
    <xf numFmtId="166" fontId="11" fillId="5" borderId="45" xfId="0" applyNumberFormat="1" applyFont="1" applyFill="1" applyBorder="1"/>
    <xf numFmtId="166" fontId="6" fillId="5" borderId="46" xfId="0" applyNumberFormat="1" applyFont="1" applyFill="1" applyBorder="1" applyAlignment="1">
      <alignment horizontal="right"/>
    </xf>
    <xf numFmtId="166" fontId="6" fillId="5" borderId="35" xfId="0" applyNumberFormat="1" applyFont="1" applyFill="1" applyBorder="1" applyAlignment="1">
      <alignment horizontal="right"/>
    </xf>
    <xf numFmtId="166" fontId="6" fillId="4" borderId="34" xfId="0" applyNumberFormat="1" applyFont="1" applyFill="1" applyBorder="1" applyAlignment="1">
      <alignment horizontal="right"/>
    </xf>
    <xf numFmtId="166" fontId="7" fillId="5" borderId="34" xfId="0" applyNumberFormat="1" applyFont="1" applyFill="1" applyBorder="1" applyAlignment="1">
      <alignment horizontal="right"/>
    </xf>
    <xf numFmtId="166" fontId="7" fillId="5" borderId="15" xfId="0" applyNumberFormat="1" applyFont="1" applyFill="1" applyBorder="1" applyAlignment="1">
      <alignment horizontal="right"/>
    </xf>
    <xf numFmtId="166" fontId="7" fillId="5" borderId="44" xfId="0" applyNumberFormat="1" applyFont="1" applyFill="1" applyBorder="1" applyAlignment="1">
      <alignment horizontal="right"/>
    </xf>
    <xf numFmtId="166" fontId="14" fillId="5" borderId="16" xfId="0" applyNumberFormat="1" applyFont="1" applyFill="1" applyBorder="1"/>
    <xf numFmtId="166" fontId="14" fillId="5" borderId="15" xfId="0" applyNumberFormat="1" applyFont="1" applyFill="1" applyBorder="1"/>
    <xf numFmtId="166" fontId="14" fillId="4" borderId="15" xfId="0" applyNumberFormat="1" applyFont="1" applyFill="1" applyBorder="1"/>
    <xf numFmtId="166" fontId="14" fillId="5" borderId="45" xfId="0" applyNumberFormat="1" applyFont="1" applyFill="1" applyBorder="1"/>
    <xf numFmtId="166" fontId="6" fillId="4" borderId="16" xfId="0" applyNumberFormat="1" applyFont="1" applyFill="1" applyBorder="1" applyAlignment="1">
      <alignment horizontal="center"/>
    </xf>
    <xf numFmtId="166" fontId="6" fillId="4" borderId="44" xfId="0" applyNumberFormat="1" applyFont="1" applyFill="1" applyBorder="1" applyAlignment="1">
      <alignment horizontal="center"/>
    </xf>
    <xf numFmtId="0" fontId="14" fillId="3" borderId="26" xfId="0" applyFont="1" applyFill="1" applyBorder="1"/>
    <xf numFmtId="0" fontId="6" fillId="3" borderId="2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4" fontId="0" fillId="3" borderId="0" xfId="0" applyNumberFormat="1" applyFill="1"/>
    <xf numFmtId="8" fontId="5" fillId="3" borderId="48" xfId="0" applyNumberFormat="1" applyFont="1" applyFill="1" applyBorder="1" applyAlignment="1">
      <alignment horizontal="center" vertical="center"/>
    </xf>
    <xf numFmtId="8" fontId="5" fillId="3" borderId="49" xfId="0" applyNumberFormat="1" applyFont="1" applyFill="1" applyBorder="1" applyAlignment="1">
      <alignment horizontal="center" vertical="center"/>
    </xf>
    <xf numFmtId="8" fontId="5" fillId="3" borderId="4" xfId="0" applyNumberFormat="1" applyFont="1" applyFill="1" applyBorder="1" applyAlignment="1">
      <alignment horizontal="center" vertical="center"/>
    </xf>
    <xf numFmtId="8" fontId="5" fillId="3" borderId="15" xfId="0" applyNumberFormat="1" applyFont="1" applyFill="1" applyBorder="1" applyAlignment="1">
      <alignment horizontal="center" vertical="center"/>
    </xf>
    <xf numFmtId="8" fontId="5" fillId="3" borderId="10" xfId="0" applyNumberFormat="1" applyFont="1" applyFill="1" applyBorder="1" applyAlignment="1">
      <alignment horizontal="center" vertical="center"/>
    </xf>
    <xf numFmtId="8" fontId="5" fillId="3" borderId="34" xfId="0" applyNumberFormat="1" applyFont="1" applyFill="1" applyBorder="1" applyAlignment="1">
      <alignment horizontal="center" vertical="center"/>
    </xf>
    <xf numFmtId="8" fontId="5" fillId="3" borderId="13" xfId="0" applyNumberFormat="1" applyFont="1" applyFill="1" applyBorder="1" applyAlignment="1">
      <alignment horizontal="center" vertical="center"/>
    </xf>
    <xf numFmtId="8" fontId="5" fillId="3" borderId="45" xfId="0" applyNumberFormat="1" applyFont="1" applyFill="1" applyBorder="1" applyAlignment="1">
      <alignment horizontal="center" vertical="center"/>
    </xf>
    <xf numFmtId="14" fontId="5" fillId="0" borderId="11" xfId="0" applyNumberFormat="1" applyFont="1" applyBorder="1" applyAlignment="1" applyProtection="1">
      <alignment horizontal="center" vertical="center"/>
      <protection locked="0"/>
    </xf>
    <xf numFmtId="166" fontId="11" fillId="5" borderId="5" xfId="1" applyNumberFormat="1" applyFont="1" applyFill="1" applyBorder="1" applyAlignment="1" applyProtection="1"/>
    <xf numFmtId="166" fontId="11" fillId="5" borderId="35" xfId="1" applyNumberFormat="1" applyFont="1" applyFill="1" applyBorder="1" applyAlignment="1" applyProtection="1"/>
    <xf numFmtId="0" fontId="11" fillId="4" borderId="5" xfId="0" applyFont="1" applyFill="1" applyBorder="1" applyAlignment="1" applyProtection="1">
      <alignment horizontal="center" wrapText="1"/>
      <protection locked="0"/>
    </xf>
    <xf numFmtId="0" fontId="11" fillId="4" borderId="35" xfId="0" applyFont="1" applyFill="1" applyBorder="1" applyAlignment="1" applyProtection="1">
      <alignment horizontal="center" wrapText="1"/>
      <protection locked="0"/>
    </xf>
    <xf numFmtId="0" fontId="37" fillId="3" borderId="28" xfId="0" applyFont="1" applyFill="1" applyBorder="1" applyAlignment="1" applyProtection="1">
      <alignment horizontal="center" vertical="center"/>
      <protection locked="0"/>
    </xf>
    <xf numFmtId="0" fontId="37" fillId="3" borderId="0" xfId="0" applyFont="1" applyFill="1" applyAlignment="1" applyProtection="1">
      <alignment horizontal="center" vertical="center"/>
      <protection locked="0"/>
    </xf>
    <xf numFmtId="0" fontId="37" fillId="3" borderId="18" xfId="0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166" fontId="5" fillId="0" borderId="10" xfId="1" applyNumberFormat="1" applyFont="1" applyFill="1" applyBorder="1" applyAlignment="1" applyProtection="1">
      <protection locked="0"/>
    </xf>
    <xf numFmtId="0" fontId="6" fillId="0" borderId="5" xfId="0" applyFont="1" applyBorder="1" applyAlignment="1" applyProtection="1">
      <alignment horizontal="right" wrapText="1"/>
      <protection locked="0"/>
    </xf>
    <xf numFmtId="0" fontId="6" fillId="0" borderId="1" xfId="0" applyFont="1" applyBorder="1" applyAlignment="1" applyProtection="1">
      <alignment horizontal="right" wrapText="1"/>
      <protection locked="0"/>
    </xf>
    <xf numFmtId="0" fontId="6" fillId="0" borderId="2" xfId="0" applyFont="1" applyBorder="1" applyAlignment="1" applyProtection="1">
      <alignment horizontal="right" wrapText="1"/>
      <protection locked="0"/>
    </xf>
    <xf numFmtId="166" fontId="5" fillId="5" borderId="13" xfId="1" applyNumberFormat="1" applyFont="1" applyFill="1" applyBorder="1" applyAlignment="1" applyProtection="1"/>
    <xf numFmtId="168" fontId="5" fillId="2" borderId="23" xfId="0" applyNumberFormat="1" applyFont="1" applyFill="1" applyBorder="1" applyAlignment="1" applyProtection="1">
      <alignment horizontal="left"/>
      <protection locked="0"/>
    </xf>
    <xf numFmtId="168" fontId="5" fillId="2" borderId="2" xfId="0" applyNumberFormat="1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49" fontId="5" fillId="0" borderId="5" xfId="0" quotePrefix="1" applyNumberFormat="1" applyFont="1" applyBorder="1" applyAlignment="1" applyProtection="1">
      <alignment horizontal="left"/>
      <protection locked="0"/>
    </xf>
    <xf numFmtId="49" fontId="5" fillId="0" borderId="1" xfId="0" quotePrefix="1" applyNumberFormat="1" applyFont="1" applyBorder="1" applyAlignment="1" applyProtection="1">
      <alignment horizontal="left"/>
      <protection locked="0"/>
    </xf>
    <xf numFmtId="49" fontId="5" fillId="0" borderId="2" xfId="0" quotePrefix="1" applyNumberFormat="1" applyFont="1" applyBorder="1" applyAlignment="1" applyProtection="1">
      <alignment horizontal="left"/>
      <protection locked="0"/>
    </xf>
    <xf numFmtId="0" fontId="5" fillId="3" borderId="23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/>
      <protection locked="0"/>
    </xf>
    <xf numFmtId="44" fontId="5" fillId="0" borderId="5" xfId="0" applyNumberFormat="1" applyFont="1" applyBorder="1" applyAlignment="1" applyProtection="1">
      <alignment horizontal="center"/>
      <protection locked="0"/>
    </xf>
    <xf numFmtId="44" fontId="5" fillId="0" borderId="2" xfId="0" applyNumberFormat="1" applyFont="1" applyBorder="1" applyAlignment="1" applyProtection="1">
      <alignment horizontal="center"/>
      <protection locked="0"/>
    </xf>
    <xf numFmtId="166" fontId="5" fillId="0" borderId="4" xfId="1" applyNumberFormat="1" applyFont="1" applyFill="1" applyBorder="1" applyAlignment="1" applyProtection="1">
      <protection locked="0"/>
    </xf>
    <xf numFmtId="9" fontId="18" fillId="5" borderId="59" xfId="28" applyFont="1" applyFill="1" applyBorder="1" applyAlignment="1" applyProtection="1"/>
    <xf numFmtId="9" fontId="18" fillId="5" borderId="39" xfId="28" applyFont="1" applyFill="1" applyBorder="1" applyAlignment="1" applyProtection="1"/>
    <xf numFmtId="0" fontId="0" fillId="3" borderId="0" xfId="0" applyFill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  <xf numFmtId="0" fontId="18" fillId="4" borderId="25" xfId="0" applyFont="1" applyFill="1" applyBorder="1" applyAlignment="1" applyProtection="1">
      <alignment horizontal="center" vertical="center" textRotation="90" wrapText="1"/>
      <protection locked="0"/>
    </xf>
    <xf numFmtId="0" fontId="18" fillId="4" borderId="27" xfId="0" applyFont="1" applyFill="1" applyBorder="1" applyAlignment="1" applyProtection="1">
      <alignment horizontal="center" vertical="center" textRotation="90" wrapText="1"/>
      <protection locked="0"/>
    </xf>
    <xf numFmtId="0" fontId="18" fillId="4" borderId="28" xfId="0" applyFont="1" applyFill="1" applyBorder="1" applyAlignment="1" applyProtection="1">
      <alignment horizontal="center" vertical="center" textRotation="90" wrapText="1"/>
      <protection locked="0"/>
    </xf>
    <xf numFmtId="0" fontId="18" fillId="4" borderId="41" xfId="0" applyFont="1" applyFill="1" applyBorder="1" applyAlignment="1" applyProtection="1">
      <alignment horizontal="center" vertical="center" textRotation="90" wrapText="1"/>
      <protection locked="0"/>
    </xf>
    <xf numFmtId="0" fontId="18" fillId="4" borderId="24" xfId="0" applyFont="1" applyFill="1" applyBorder="1" applyAlignment="1" applyProtection="1">
      <alignment horizontal="center" vertical="center" textRotation="90" wrapText="1"/>
      <protection locked="0"/>
    </xf>
    <xf numFmtId="0" fontId="18" fillId="4" borderId="17" xfId="0" applyFont="1" applyFill="1" applyBorder="1" applyAlignment="1" applyProtection="1">
      <alignment horizontal="center" vertical="center" textRotation="90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5" fillId="0" borderId="26" xfId="0" applyFont="1" applyBorder="1" applyAlignment="1" applyProtection="1">
      <alignment vertical="center" wrapText="1"/>
      <protection locked="0"/>
    </xf>
    <xf numFmtId="0" fontId="5" fillId="0" borderId="53" xfId="0" applyFont="1" applyBorder="1" applyAlignment="1" applyProtection="1">
      <alignment vertical="center" wrapText="1"/>
      <protection locked="0"/>
    </xf>
    <xf numFmtId="0" fontId="5" fillId="0" borderId="36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166" fontId="18" fillId="0" borderId="55" xfId="0" applyNumberFormat="1" applyFont="1" applyBorder="1" applyProtection="1">
      <protection locked="0"/>
    </xf>
    <xf numFmtId="166" fontId="18" fillId="0" borderId="27" xfId="0" applyNumberFormat="1" applyFont="1" applyBorder="1" applyProtection="1">
      <protection locked="0"/>
    </xf>
    <xf numFmtId="166" fontId="18" fillId="0" borderId="7" xfId="0" applyNumberFormat="1" applyFont="1" applyBorder="1" applyProtection="1">
      <protection locked="0"/>
    </xf>
    <xf numFmtId="166" fontId="18" fillId="0" borderId="37" xfId="0" applyNumberFormat="1" applyFont="1" applyBorder="1" applyProtection="1">
      <protection locked="0"/>
    </xf>
    <xf numFmtId="0" fontId="18" fillId="4" borderId="42" xfId="0" applyFont="1" applyFill="1" applyBorder="1" applyAlignment="1" applyProtection="1">
      <alignment horizontal="center" vertical="center" textRotation="90"/>
      <protection locked="0"/>
    </xf>
    <xf numFmtId="0" fontId="18" fillId="4" borderId="58" xfId="0" applyFont="1" applyFill="1" applyBorder="1" applyAlignment="1" applyProtection="1">
      <alignment horizontal="center" vertical="center" textRotation="90"/>
      <protection locked="0"/>
    </xf>
    <xf numFmtId="0" fontId="18" fillId="4" borderId="56" xfId="0" applyFont="1" applyFill="1" applyBorder="1" applyAlignment="1" applyProtection="1">
      <alignment horizontal="center" vertical="center" textRotation="90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38" fillId="0" borderId="43" xfId="0" applyFont="1" applyBorder="1" applyAlignment="1" applyProtection="1">
      <alignment horizontal="left" vertical="top" wrapText="1"/>
      <protection locked="0"/>
    </xf>
    <xf numFmtId="0" fontId="38" fillId="0" borderId="6" xfId="0" applyFont="1" applyBorder="1" applyAlignment="1" applyProtection="1">
      <alignment horizontal="left" vertical="top" wrapText="1"/>
      <protection locked="0"/>
    </xf>
    <xf numFmtId="0" fontId="38" fillId="0" borderId="38" xfId="0" applyFont="1" applyBorder="1" applyAlignment="1" applyProtection="1">
      <alignment horizontal="left" vertical="top" wrapText="1"/>
      <protection locked="0"/>
    </xf>
    <xf numFmtId="0" fontId="38" fillId="0" borderId="3" xfId="0" applyFont="1" applyBorder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8" fillId="0" borderId="41" xfId="0" applyFont="1" applyBorder="1" applyAlignment="1" applyProtection="1">
      <alignment horizontal="left" vertical="top" wrapText="1"/>
      <protection locked="0"/>
    </xf>
    <xf numFmtId="0" fontId="38" fillId="0" borderId="67" xfId="0" applyFont="1" applyBorder="1" applyAlignment="1" applyProtection="1">
      <alignment horizontal="left" vertical="top" wrapText="1"/>
      <protection locked="0"/>
    </xf>
    <xf numFmtId="0" fontId="38" fillId="0" borderId="21" xfId="0" applyFont="1" applyBorder="1" applyAlignment="1" applyProtection="1">
      <alignment horizontal="left" vertical="top" wrapText="1"/>
      <protection locked="0"/>
    </xf>
    <xf numFmtId="0" fontId="38" fillId="0" borderId="17" xfId="0" applyFont="1" applyBorder="1" applyAlignment="1" applyProtection="1">
      <alignment horizontal="left" vertical="top" wrapText="1"/>
      <protection locked="0"/>
    </xf>
    <xf numFmtId="0" fontId="5" fillId="0" borderId="5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3" borderId="12" xfId="0" applyFont="1" applyFill="1" applyBorder="1" applyAlignment="1" applyProtection="1">
      <alignment horizontal="right"/>
      <protection locked="0"/>
    </xf>
    <xf numFmtId="0" fontId="5" fillId="3" borderId="54" xfId="0" applyFont="1" applyFill="1" applyBorder="1" applyAlignment="1" applyProtection="1">
      <alignment horizontal="right"/>
      <protection locked="0"/>
    </xf>
    <xf numFmtId="0" fontId="19" fillId="0" borderId="53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57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54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horizontal="right"/>
      <protection locked="0"/>
    </xf>
    <xf numFmtId="0" fontId="14" fillId="0" borderId="1" xfId="0" applyFont="1" applyBorder="1" applyAlignment="1" applyProtection="1">
      <alignment horizontal="right"/>
      <protection locked="0"/>
    </xf>
    <xf numFmtId="0" fontId="14" fillId="0" borderId="2" xfId="0" applyFont="1" applyBorder="1" applyAlignment="1" applyProtection="1">
      <alignment horizontal="right"/>
      <protection locked="0"/>
    </xf>
    <xf numFmtId="0" fontId="14" fillId="0" borderId="5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59" xfId="0" applyFont="1" applyBorder="1" applyAlignment="1" applyProtection="1">
      <alignment horizontal="right"/>
      <protection locked="0"/>
    </xf>
    <xf numFmtId="0" fontId="14" fillId="0" borderId="12" xfId="0" applyFont="1" applyBorder="1" applyAlignment="1" applyProtection="1">
      <alignment horizontal="right"/>
      <protection locked="0"/>
    </xf>
    <xf numFmtId="0" fontId="14" fillId="0" borderId="54" xfId="0" applyFont="1" applyBorder="1" applyAlignment="1" applyProtection="1">
      <alignment horizontal="right"/>
      <protection locked="0"/>
    </xf>
    <xf numFmtId="0" fontId="14" fillId="0" borderId="20" xfId="0" applyFont="1" applyBorder="1" applyAlignment="1">
      <alignment horizontal="right"/>
    </xf>
    <xf numFmtId="0" fontId="14" fillId="0" borderId="22" xfId="0" applyFont="1" applyBorder="1" applyAlignment="1">
      <alignment horizontal="right"/>
    </xf>
    <xf numFmtId="0" fontId="14" fillId="0" borderId="19" xfId="0" applyFont="1" applyBorder="1" applyAlignment="1">
      <alignment horizontal="right"/>
    </xf>
    <xf numFmtId="0" fontId="12" fillId="3" borderId="26" xfId="0" applyFont="1" applyFill="1" applyBorder="1" applyProtection="1">
      <protection locked="0"/>
    </xf>
    <xf numFmtId="0" fontId="12" fillId="3" borderId="14" xfId="0" applyFont="1" applyFill="1" applyBorder="1" applyProtection="1">
      <protection locked="0"/>
    </xf>
    <xf numFmtId="0" fontId="12" fillId="3" borderId="6" xfId="0" applyFont="1" applyFill="1" applyBorder="1" applyProtection="1">
      <protection locked="0"/>
    </xf>
    <xf numFmtId="14" fontId="14" fillId="3" borderId="0" xfId="0" applyNumberFormat="1" applyFont="1" applyFill="1" applyAlignment="1" applyProtection="1">
      <alignment horizontal="right"/>
      <protection locked="0"/>
    </xf>
    <xf numFmtId="0" fontId="40" fillId="3" borderId="26" xfId="0" applyFont="1" applyFill="1" applyBorder="1" applyAlignment="1" applyProtection="1">
      <alignment horizontal="center"/>
      <protection locked="0"/>
    </xf>
    <xf numFmtId="0" fontId="40" fillId="3" borderId="27" xfId="0" applyFont="1" applyFill="1" applyBorder="1" applyAlignment="1" applyProtection="1">
      <alignment horizontal="center"/>
      <protection locked="0"/>
    </xf>
    <xf numFmtId="0" fontId="40" fillId="3" borderId="0" xfId="0" applyFont="1" applyFill="1" applyAlignment="1" applyProtection="1">
      <alignment horizontal="center"/>
      <protection locked="0"/>
    </xf>
    <xf numFmtId="0" fontId="40" fillId="3" borderId="41" xfId="0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6" fillId="3" borderId="40" xfId="0" applyFont="1" applyFill="1" applyBorder="1" applyAlignment="1" applyProtection="1">
      <alignment horizontal="center"/>
      <protection locked="0"/>
    </xf>
    <xf numFmtId="0" fontId="7" fillId="4" borderId="60" xfId="0" applyFont="1" applyFill="1" applyBorder="1" applyAlignment="1" applyProtection="1">
      <alignment horizontal="left"/>
      <protection locked="0"/>
    </xf>
    <xf numFmtId="0" fontId="7" fillId="4" borderId="22" xfId="0" applyFont="1" applyFill="1" applyBorder="1" applyAlignment="1" applyProtection="1">
      <alignment horizontal="left"/>
      <protection locked="0"/>
    </xf>
    <xf numFmtId="0" fontId="11" fillId="3" borderId="33" xfId="0" applyFont="1" applyFill="1" applyBorder="1" applyAlignment="1" applyProtection="1">
      <alignment horizontal="right"/>
      <protection locked="0"/>
    </xf>
    <xf numFmtId="0" fontId="11" fillId="3" borderId="28" xfId="0" applyFont="1" applyFill="1" applyBorder="1" applyAlignment="1" applyProtection="1">
      <alignment horizontal="right"/>
      <protection locked="0"/>
    </xf>
    <xf numFmtId="0" fontId="11" fillId="3" borderId="24" xfId="0" applyFont="1" applyFill="1" applyBorder="1" applyAlignment="1" applyProtection="1">
      <alignment horizontal="right"/>
      <protection locked="0"/>
    </xf>
    <xf numFmtId="0" fontId="5" fillId="4" borderId="5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right"/>
      <protection locked="0"/>
    </xf>
    <xf numFmtId="166" fontId="11" fillId="5" borderId="59" xfId="1" applyNumberFormat="1" applyFont="1" applyFill="1" applyBorder="1" applyAlignment="1" applyProtection="1"/>
    <xf numFmtId="166" fontId="11" fillId="5" borderId="39" xfId="1" applyNumberFormat="1" applyFont="1" applyFill="1" applyBorder="1" applyAlignment="1" applyProtection="1"/>
    <xf numFmtId="44" fontId="5" fillId="0" borderId="5" xfId="0" applyNumberFormat="1" applyFont="1" applyBorder="1" applyAlignment="1" applyProtection="1">
      <alignment horizontal="left"/>
      <protection locked="0"/>
    </xf>
    <xf numFmtId="44" fontId="5" fillId="0" borderId="2" xfId="0" applyNumberFormat="1" applyFont="1" applyBorder="1" applyAlignment="1" applyProtection="1">
      <alignment horizontal="left"/>
      <protection locked="0"/>
    </xf>
    <xf numFmtId="0" fontId="14" fillId="3" borderId="28" xfId="0" applyFont="1" applyFill="1" applyBorder="1" applyProtection="1">
      <protection locked="0"/>
    </xf>
    <xf numFmtId="0" fontId="14" fillId="3" borderId="0" xfId="0" applyFont="1" applyFill="1" applyProtection="1">
      <protection locked="0"/>
    </xf>
    <xf numFmtId="0" fontId="14" fillId="3" borderId="24" xfId="0" applyFont="1" applyFill="1" applyBorder="1" applyProtection="1">
      <protection locked="0"/>
    </xf>
    <xf numFmtId="0" fontId="14" fillId="3" borderId="21" xfId="0" applyFont="1" applyFill="1" applyBorder="1" applyProtection="1">
      <protection locked="0"/>
    </xf>
    <xf numFmtId="168" fontId="5" fillId="2" borderId="1" xfId="0" applyNumberFormat="1" applyFont="1" applyFill="1" applyBorder="1" applyAlignment="1" applyProtection="1">
      <alignment horizontal="left"/>
      <protection locked="0"/>
    </xf>
    <xf numFmtId="14" fontId="14" fillId="3" borderId="38" xfId="0" applyNumberFormat="1" applyFont="1" applyFill="1" applyBorder="1" applyAlignment="1" applyProtection="1">
      <alignment horizontal="center"/>
      <protection locked="0"/>
    </xf>
    <xf numFmtId="14" fontId="14" fillId="3" borderId="37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60" xfId="0" applyFont="1" applyFill="1" applyBorder="1" applyProtection="1">
      <protection locked="0"/>
    </xf>
    <xf numFmtId="0" fontId="6" fillId="4" borderId="22" xfId="0" applyFont="1" applyFill="1" applyBorder="1" applyProtection="1">
      <protection locked="0"/>
    </xf>
    <xf numFmtId="0" fontId="6" fillId="4" borderId="22" xfId="0" applyFont="1" applyFill="1" applyBorder="1" applyAlignment="1" applyProtection="1">
      <alignment horizontal="right"/>
      <protection locked="0"/>
    </xf>
    <xf numFmtId="0" fontId="6" fillId="4" borderId="19" xfId="0" applyFont="1" applyFill="1" applyBorder="1" applyAlignment="1" applyProtection="1">
      <alignment horizontal="right"/>
      <protection locked="0"/>
    </xf>
    <xf numFmtId="0" fontId="12" fillId="3" borderId="0" xfId="0" applyFont="1" applyFill="1" applyAlignment="1" applyProtection="1">
      <alignment horizontal="left" wrapText="1"/>
      <protection locked="0"/>
    </xf>
    <xf numFmtId="0" fontId="12" fillId="3" borderId="21" xfId="0" applyFont="1" applyFill="1" applyBorder="1" applyAlignment="1" applyProtection="1">
      <alignment horizontal="left" wrapText="1"/>
      <protection locked="0"/>
    </xf>
    <xf numFmtId="0" fontId="5" fillId="2" borderId="32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54" xfId="0" applyFont="1" applyFill="1" applyBorder="1" applyAlignment="1" applyProtection="1">
      <alignment horizontal="left"/>
      <protection locked="0"/>
    </xf>
    <xf numFmtId="0" fontId="6" fillId="4" borderId="60" xfId="0" applyFont="1" applyFill="1" applyBorder="1" applyAlignment="1" applyProtection="1">
      <alignment horizontal="left"/>
      <protection locked="0"/>
    </xf>
    <xf numFmtId="0" fontId="6" fillId="4" borderId="22" xfId="0" applyFont="1" applyFill="1" applyBorder="1" applyAlignment="1" applyProtection="1">
      <alignment horizontal="left"/>
      <protection locked="0"/>
    </xf>
    <xf numFmtId="0" fontId="5" fillId="0" borderId="23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12" fillId="3" borderId="0" xfId="0" applyFont="1" applyFill="1" applyAlignment="1" applyProtection="1">
      <alignment horizontal="left" vertical="center"/>
      <protection locked="0"/>
    </xf>
    <xf numFmtId="0" fontId="35" fillId="3" borderId="0" xfId="0" applyFont="1" applyFill="1" applyAlignment="1" applyProtection="1">
      <alignment horizontal="center"/>
      <protection locked="0"/>
    </xf>
    <xf numFmtId="0" fontId="18" fillId="4" borderId="28" xfId="0" applyFont="1" applyFill="1" applyBorder="1" applyAlignment="1" applyProtection="1">
      <alignment horizontal="center" vertical="center" textRotation="90"/>
      <protection locked="0"/>
    </xf>
    <xf numFmtId="0" fontId="14" fillId="3" borderId="25" xfId="0" applyFont="1" applyFill="1" applyBorder="1" applyProtection="1">
      <protection locked="0"/>
    </xf>
    <xf numFmtId="0" fontId="14" fillId="3" borderId="26" xfId="0" applyFont="1" applyFill="1" applyBorder="1" applyProtection="1">
      <protection locked="0"/>
    </xf>
    <xf numFmtId="0" fontId="5" fillId="3" borderId="25" xfId="0" applyFont="1" applyFill="1" applyBorder="1" applyAlignment="1" applyProtection="1">
      <alignment horizontal="center" vertical="center"/>
      <protection locked="0" hidden="1"/>
    </xf>
    <xf numFmtId="0" fontId="5" fillId="3" borderId="26" xfId="0" applyFont="1" applyFill="1" applyBorder="1" applyAlignment="1" applyProtection="1">
      <alignment horizontal="center" vertical="center"/>
      <protection locked="0" hidden="1"/>
    </xf>
    <xf numFmtId="0" fontId="5" fillId="3" borderId="27" xfId="0" applyFont="1" applyFill="1" applyBorder="1" applyAlignment="1" applyProtection="1">
      <alignment horizontal="center" vertical="center"/>
      <protection locked="0" hidden="1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14" fontId="14" fillId="3" borderId="41" xfId="0" applyNumberFormat="1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1" fillId="2" borderId="23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3" borderId="5" xfId="0" applyFont="1" applyFill="1" applyBorder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horizontal="right" vertical="center"/>
      <protection locked="0"/>
    </xf>
    <xf numFmtId="0" fontId="11" fillId="3" borderId="2" xfId="0" applyFont="1" applyFill="1" applyBorder="1" applyAlignment="1" applyProtection="1">
      <alignment horizontal="right" vertical="center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53" xfId="0" applyFont="1" applyFill="1" applyBorder="1" applyAlignment="1" applyProtection="1">
      <alignment horizontal="center" vertical="center" wrapText="1"/>
      <protection locked="0"/>
    </xf>
    <xf numFmtId="0" fontId="15" fillId="3" borderId="28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5" fillId="0" borderId="32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54" xfId="0" applyFont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38" fillId="0" borderId="43" xfId="0" applyFont="1" applyBorder="1" applyAlignment="1">
      <alignment horizontal="left" vertical="top" wrapText="1"/>
    </xf>
    <xf numFmtId="0" fontId="38" fillId="0" borderId="6" xfId="0" applyFont="1" applyBorder="1" applyAlignment="1">
      <alignment horizontal="left" vertical="top" wrapText="1"/>
    </xf>
    <xf numFmtId="0" fontId="38" fillId="0" borderId="38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38" fillId="0" borderId="41" xfId="0" applyFont="1" applyBorder="1" applyAlignment="1">
      <alignment horizontal="left" vertical="top" wrapText="1"/>
    </xf>
    <xf numFmtId="0" fontId="38" fillId="0" borderId="67" xfId="0" applyFont="1" applyBorder="1" applyAlignment="1">
      <alignment horizontal="left" vertical="top" wrapText="1"/>
    </xf>
    <xf numFmtId="0" fontId="38" fillId="0" borderId="21" xfId="0" applyFont="1" applyBorder="1" applyAlignment="1">
      <alignment horizontal="left" vertical="top" wrapText="1"/>
    </xf>
    <xf numFmtId="0" fontId="38" fillId="0" borderId="17" xfId="0" applyFont="1" applyBorder="1" applyAlignment="1">
      <alignment horizontal="left" vertical="top" wrapText="1"/>
    </xf>
    <xf numFmtId="0" fontId="11" fillId="3" borderId="3" xfId="0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Alignment="1" applyProtection="1">
      <alignment horizontal="right" vertical="center"/>
      <protection locked="0"/>
    </xf>
    <xf numFmtId="0" fontId="11" fillId="3" borderId="18" xfId="0" applyFont="1" applyFill="1" applyBorder="1" applyAlignment="1" applyProtection="1">
      <alignment horizontal="right" vertical="center"/>
      <protection locked="0"/>
    </xf>
    <xf numFmtId="1" fontId="5" fillId="0" borderId="5" xfId="0" quotePrefix="1" applyNumberFormat="1" applyFont="1" applyBorder="1" applyAlignment="1" applyProtection="1">
      <alignment horizontal="left"/>
      <protection locked="0"/>
    </xf>
    <xf numFmtId="1" fontId="5" fillId="0" borderId="1" xfId="0" applyNumberFormat="1" applyFont="1" applyBorder="1" applyAlignment="1" applyProtection="1">
      <alignment horizontal="left"/>
      <protection locked="0"/>
    </xf>
    <xf numFmtId="1" fontId="5" fillId="0" borderId="2" xfId="0" applyNumberFormat="1" applyFont="1" applyBorder="1" applyAlignment="1" applyProtection="1">
      <alignment horizontal="left"/>
      <protection locked="0"/>
    </xf>
    <xf numFmtId="0" fontId="16" fillId="4" borderId="22" xfId="0" applyFont="1" applyFill="1" applyBorder="1" applyAlignment="1" applyProtection="1">
      <alignment horizontal="left"/>
      <protection locked="0"/>
    </xf>
    <xf numFmtId="166" fontId="11" fillId="5" borderId="43" xfId="1" applyNumberFormat="1" applyFont="1" applyFill="1" applyBorder="1" applyAlignment="1" applyProtection="1"/>
    <xf numFmtId="166" fontId="11" fillId="5" borderId="38" xfId="1" applyNumberFormat="1" applyFont="1" applyFill="1" applyBorder="1" applyAlignment="1" applyProtection="1"/>
    <xf numFmtId="0" fontId="6" fillId="4" borderId="14" xfId="0" applyFont="1" applyFill="1" applyBorder="1" applyAlignment="1" applyProtection="1">
      <alignment horizontal="left"/>
      <protection locked="0"/>
    </xf>
    <xf numFmtId="0" fontId="5" fillId="0" borderId="30" xfId="0" applyFont="1" applyBorder="1" applyProtection="1">
      <protection locked="0"/>
    </xf>
    <xf numFmtId="0" fontId="0" fillId="0" borderId="13" xfId="0" applyBorder="1" applyProtection="1">
      <protection locked="0"/>
    </xf>
    <xf numFmtId="0" fontId="12" fillId="3" borderId="6" xfId="0" applyFont="1" applyFill="1" applyBorder="1"/>
    <xf numFmtId="0" fontId="12" fillId="3" borderId="14" xfId="0" applyFont="1" applyFill="1" applyBorder="1"/>
    <xf numFmtId="14" fontId="14" fillId="3" borderId="0" xfId="0" applyNumberFormat="1" applyFont="1" applyFill="1" applyAlignment="1" applyProtection="1">
      <alignment horizontal="center"/>
      <protection locked="0"/>
    </xf>
    <xf numFmtId="14" fontId="14" fillId="3" borderId="14" xfId="0" applyNumberFormat="1" applyFont="1" applyFill="1" applyBorder="1" applyAlignment="1" applyProtection="1">
      <alignment horizontal="center"/>
      <protection locked="0"/>
    </xf>
    <xf numFmtId="14" fontId="14" fillId="3" borderId="6" xfId="0" applyNumberFormat="1" applyFont="1" applyFill="1" applyBorder="1" applyAlignment="1" applyProtection="1">
      <alignment horizontal="center"/>
      <protection locked="0"/>
    </xf>
    <xf numFmtId="0" fontId="12" fillId="3" borderId="26" xfId="0" applyFont="1" applyFill="1" applyBorder="1"/>
    <xf numFmtId="0" fontId="12" fillId="3" borderId="0" xfId="0" applyFont="1" applyFill="1" applyAlignment="1">
      <alignment horizontal="left" wrapText="1"/>
    </xf>
    <xf numFmtId="0" fontId="12" fillId="3" borderId="21" xfId="0" applyFont="1" applyFill="1" applyBorder="1" applyAlignment="1">
      <alignment horizontal="left" wrapText="1"/>
    </xf>
    <xf numFmtId="0" fontId="0" fillId="3" borderId="40" xfId="0" applyFill="1" applyBorder="1" applyAlignment="1" applyProtection="1">
      <alignment horizontal="center"/>
      <protection locked="0"/>
    </xf>
    <xf numFmtId="0" fontId="12" fillId="3" borderId="6" xfId="0" applyFont="1" applyFill="1" applyBorder="1" applyAlignment="1" applyProtection="1">
      <alignment horizontal="left" wrapText="1"/>
      <protection locked="0"/>
    </xf>
    <xf numFmtId="0" fontId="12" fillId="3" borderId="6" xfId="0" applyFont="1" applyFill="1" applyBorder="1" applyAlignment="1">
      <alignment horizontal="left" wrapText="1"/>
    </xf>
    <xf numFmtId="0" fontId="42" fillId="3" borderId="1" xfId="30" applyFont="1" applyFill="1" applyBorder="1"/>
    <xf numFmtId="0" fontId="42" fillId="3" borderId="2" xfId="30" applyFont="1" applyFill="1" applyBorder="1"/>
    <xf numFmtId="49" fontId="5" fillId="4" borderId="1" xfId="30" applyNumberFormat="1" applyFont="1" applyFill="1" applyBorder="1" applyAlignment="1">
      <alignment horizontal="left"/>
    </xf>
    <xf numFmtId="0" fontId="5" fillId="4" borderId="2" xfId="30" applyFont="1" applyFill="1" applyBorder="1" applyAlignment="1">
      <alignment horizontal="left"/>
    </xf>
    <xf numFmtId="49" fontId="5" fillId="3" borderId="1" xfId="30" applyNumberFormat="1" applyFont="1" applyFill="1" applyBorder="1" applyAlignment="1">
      <alignment horizontal="left"/>
    </xf>
    <xf numFmtId="49" fontId="5" fillId="3" borderId="2" xfId="30" applyNumberFormat="1" applyFont="1" applyFill="1" applyBorder="1" applyAlignment="1">
      <alignment horizontal="left"/>
    </xf>
    <xf numFmtId="0" fontId="6" fillId="3" borderId="5" xfId="0" applyFont="1" applyFill="1" applyBorder="1" applyAlignment="1" applyProtection="1">
      <alignment vertical="top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6" fillId="3" borderId="2" xfId="0" applyFont="1" applyFill="1" applyBorder="1" applyAlignment="1" applyProtection="1">
      <alignment vertical="top"/>
      <protection locked="0"/>
    </xf>
    <xf numFmtId="0" fontId="28" fillId="4" borderId="4" xfId="30" applyFont="1" applyFill="1" applyBorder="1"/>
    <xf numFmtId="0" fontId="28" fillId="4" borderId="5" xfId="30" applyFont="1" applyFill="1" applyBorder="1"/>
    <xf numFmtId="0" fontId="30" fillId="4" borderId="5" xfId="30" applyFont="1" applyFill="1" applyBorder="1" applyAlignment="1">
      <alignment vertical="center"/>
    </xf>
    <xf numFmtId="0" fontId="30" fillId="4" borderId="1" xfId="30" applyFont="1" applyFill="1" applyBorder="1" applyAlignment="1">
      <alignment vertical="center"/>
    </xf>
    <xf numFmtId="0" fontId="28" fillId="3" borderId="1" xfId="30" applyFont="1" applyFill="1" applyBorder="1"/>
    <xf numFmtId="0" fontId="28" fillId="3" borderId="2" xfId="30" applyFont="1" applyFill="1" applyBorder="1"/>
    <xf numFmtId="0" fontId="28" fillId="4" borderId="1" xfId="30" applyFont="1" applyFill="1" applyBorder="1"/>
    <xf numFmtId="0" fontId="28" fillId="3" borderId="1" xfId="30" applyFont="1" applyFill="1" applyBorder="1" applyAlignment="1">
      <alignment horizontal="left"/>
    </xf>
    <xf numFmtId="0" fontId="28" fillId="3" borderId="2" xfId="30" applyFont="1" applyFill="1" applyBorder="1" applyAlignment="1">
      <alignment horizontal="left"/>
    </xf>
    <xf numFmtId="0" fontId="5" fillId="3" borderId="0" xfId="0" applyFont="1" applyFill="1" applyAlignment="1">
      <alignment horizontal="left" vertical="center"/>
    </xf>
    <xf numFmtId="0" fontId="5" fillId="4" borderId="4" xfId="0" applyFont="1" applyFill="1" applyBorder="1"/>
    <xf numFmtId="0" fontId="5" fillId="4" borderId="5" xfId="0" applyFont="1" applyFill="1" applyBorder="1"/>
    <xf numFmtId="0" fontId="6" fillId="3" borderId="43" xfId="0" applyFont="1" applyFill="1" applyBorder="1"/>
    <xf numFmtId="0" fontId="6" fillId="3" borderId="6" xfId="0" applyFont="1" applyFill="1" applyBorder="1"/>
    <xf numFmtId="0" fontId="6" fillId="3" borderId="3" xfId="0" applyFont="1" applyFill="1" applyBorder="1"/>
    <xf numFmtId="0" fontId="6" fillId="3" borderId="0" xfId="0" applyFont="1" applyFill="1"/>
    <xf numFmtId="0" fontId="42" fillId="3" borderId="1" xfId="30" applyFont="1" applyFill="1" applyBorder="1" applyAlignment="1">
      <alignment horizontal="left"/>
    </xf>
    <xf numFmtId="0" fontId="42" fillId="3" borderId="2" xfId="30" applyFont="1" applyFill="1" applyBorder="1" applyAlignment="1">
      <alignment horizontal="left"/>
    </xf>
    <xf numFmtId="0" fontId="5" fillId="3" borderId="0" xfId="0" applyFont="1" applyFill="1" applyAlignment="1">
      <alignment horizontal="left" wrapText="1"/>
    </xf>
    <xf numFmtId="0" fontId="5" fillId="3" borderId="14" xfId="0" applyFont="1" applyFill="1" applyBorder="1" applyAlignment="1">
      <alignment horizontal="left" wrapText="1"/>
    </xf>
    <xf numFmtId="0" fontId="39" fillId="3" borderId="6" xfId="0" applyFont="1" applyFill="1" applyBorder="1" applyAlignment="1">
      <alignment horizontal="center"/>
    </xf>
    <xf numFmtId="0" fontId="39" fillId="3" borderId="0" xfId="0" applyFont="1" applyFill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14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3" fillId="3" borderId="14" xfId="30" applyFill="1" applyBorder="1"/>
    <xf numFmtId="0" fontId="3" fillId="3" borderId="0" xfId="30" applyFill="1"/>
    <xf numFmtId="0" fontId="26" fillId="3" borderId="0" xfId="30" applyFont="1" applyFill="1" applyAlignment="1">
      <alignment horizontal="left"/>
    </xf>
    <xf numFmtId="49" fontId="26" fillId="3" borderId="3" xfId="30" applyNumberFormat="1" applyFont="1" applyFill="1" applyBorder="1" applyAlignment="1">
      <alignment horizontal="left"/>
    </xf>
    <xf numFmtId="0" fontId="26" fillId="3" borderId="18" xfId="30" applyFont="1" applyFill="1" applyBorder="1" applyAlignment="1">
      <alignment horizontal="left"/>
    </xf>
    <xf numFmtId="0" fontId="1" fillId="3" borderId="0" xfId="30" applyFont="1" applyFill="1"/>
    <xf numFmtId="0" fontId="26" fillId="3" borderId="3" xfId="30" applyFont="1" applyFill="1" applyBorder="1" applyAlignment="1">
      <alignment horizontal="left"/>
    </xf>
    <xf numFmtId="0" fontId="26" fillId="3" borderId="9" xfId="30" applyFont="1" applyFill="1" applyBorder="1" applyAlignment="1">
      <alignment horizontal="left"/>
    </xf>
    <xf numFmtId="0" fontId="3" fillId="3" borderId="14" xfId="30" applyFill="1" applyBorder="1" applyAlignment="1">
      <alignment horizontal="center"/>
    </xf>
    <xf numFmtId="0" fontId="3" fillId="3" borderId="0" xfId="30" applyFill="1" applyAlignment="1">
      <alignment horizontal="center"/>
    </xf>
    <xf numFmtId="0" fontId="22" fillId="3" borderId="0" xfId="30" applyFont="1" applyFill="1" applyAlignment="1">
      <alignment horizontal="right"/>
    </xf>
    <xf numFmtId="0" fontId="25" fillId="3" borderId="0" xfId="30" applyFont="1" applyFill="1" applyAlignment="1">
      <alignment vertical="center" wrapText="1"/>
    </xf>
    <xf numFmtId="0" fontId="3" fillId="3" borderId="0" xfId="30" applyFill="1" applyAlignment="1">
      <alignment horizontal="right"/>
    </xf>
    <xf numFmtId="0" fontId="1" fillId="3" borderId="0" xfId="30" applyFont="1" applyFill="1" applyAlignment="1">
      <alignment horizontal="right"/>
    </xf>
  </cellXfs>
  <cellStyles count="34">
    <cellStyle name="Comma" xfId="1" builtinId="3"/>
    <cellStyle name="Currency" xfId="31" builtinId="4"/>
    <cellStyle name="Followed Hyperlink" xfId="11" builtinId="9" hidden="1"/>
    <cellStyle name="Followed Hyperlink" xfId="18" builtinId="9" hidden="1"/>
    <cellStyle name="Followed Hyperlink" xfId="7" builtinId="9" hidden="1"/>
    <cellStyle name="Followed Hyperlink" xfId="15" builtinId="9" hidden="1"/>
    <cellStyle name="Followed Hyperlink" xfId="19" builtinId="9" hidden="1"/>
    <cellStyle name="Followed Hyperlink" xfId="5" builtinId="9" hidden="1"/>
    <cellStyle name="Followed Hyperlink" xfId="24" builtinId="9" hidden="1"/>
    <cellStyle name="Followed Hyperlink" xfId="21" builtinId="9" hidden="1"/>
    <cellStyle name="Followed Hyperlink" xfId="25" builtinId="9" hidden="1"/>
    <cellStyle name="Followed Hyperlink" xfId="3" builtinId="9" hidden="1"/>
    <cellStyle name="Followed Hyperlink" xfId="9" builtinId="9" hidden="1"/>
    <cellStyle name="Followed Hyperlink" xfId="26" builtinId="9" hidden="1"/>
    <cellStyle name="Followed Hyperlink" xfId="13" builtinId="9" hidden="1"/>
    <cellStyle name="Followed Hyperlink" xfId="23" builtinId="9" hidden="1"/>
    <cellStyle name="Followed Hyperlink" xfId="22" builtinId="9" hidden="1"/>
    <cellStyle name="Followed Hyperlink" xfId="20" builtinId="9" hidden="1"/>
    <cellStyle name="Followed Hyperlink" xfId="17" builtinId="9" hidden="1"/>
    <cellStyle name="Hyperlink" xfId="2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4" builtinId="8" hidden="1"/>
    <cellStyle name="Hyperlink" xfId="6" builtinId="8" hidden="1"/>
    <cellStyle name="Hyperlink" xfId="16" builtinId="8" hidden="1"/>
    <cellStyle name="Hyperlink" xfId="32" builtinId="8"/>
    <cellStyle name="Normal" xfId="0" builtinId="0"/>
    <cellStyle name="Normal 2" xfId="27" xr:uid="{00000000-0005-0000-0000-00001D000000}"/>
    <cellStyle name="Normal 3" xfId="29" xr:uid="{00000000-0005-0000-0000-00001E000000}"/>
    <cellStyle name="Normal 4" xfId="30" xr:uid="{00000000-0005-0000-0000-00001F000000}"/>
    <cellStyle name="Normal 5" xfId="33" xr:uid="{00000000-0005-0000-0000-000020000000}"/>
    <cellStyle name="Percent" xfId="28" builtinId="5"/>
  </cellStyles>
  <dxfs count="10"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</dxfs>
  <tableStyles count="0" defaultTableStyle="TableStyleMedium9" defaultPivotStyle="PivotStyleLight16"/>
  <colors>
    <mruColors>
      <color rgb="FFADADAF"/>
      <color rgb="FFA4B3C9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9</xdr:row>
      <xdr:rowOff>123825</xdr:rowOff>
    </xdr:from>
    <xdr:to>
      <xdr:col>9</xdr:col>
      <xdr:colOff>28575</xdr:colOff>
      <xdr:row>32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487805"/>
          <a:ext cx="4829175" cy="4253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238125</xdr:colOff>
      <xdr:row>40</xdr:row>
      <xdr:rowOff>0</xdr:rowOff>
    </xdr:from>
    <xdr:to>
      <xdr:col>11</xdr:col>
      <xdr:colOff>476250</xdr:colOff>
      <xdr:row>60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7391400"/>
          <a:ext cx="4371975" cy="403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85725</xdr:rowOff>
    </xdr:from>
    <xdr:to>
      <xdr:col>4</xdr:col>
      <xdr:colOff>152904</xdr:colOff>
      <xdr:row>1</xdr:row>
      <xdr:rowOff>381080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6AF59C-0A08-13EE-39B8-66B68E23C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85725"/>
          <a:ext cx="3610479" cy="571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4</xdr:col>
      <xdr:colOff>810129</xdr:colOff>
      <xdr:row>1</xdr:row>
      <xdr:rowOff>362030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4D9E72-1F81-47E5-85F1-10A009867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3610479" cy="571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4</xdr:col>
      <xdr:colOff>810129</xdr:colOff>
      <xdr:row>1</xdr:row>
      <xdr:rowOff>333455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560103-0939-4A3B-93DB-057958418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3610479" cy="571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4</xdr:col>
      <xdr:colOff>810129</xdr:colOff>
      <xdr:row>1</xdr:row>
      <xdr:rowOff>381080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13546B-BB1B-4ADA-8533-644CCDADC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3610479" cy="5715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4</xdr:col>
      <xdr:colOff>810129</xdr:colOff>
      <xdr:row>1</xdr:row>
      <xdr:rowOff>362030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957AF4-0492-49CD-805A-FC820EE84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3610479" cy="5715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4</xdr:col>
      <xdr:colOff>810129</xdr:colOff>
      <xdr:row>1</xdr:row>
      <xdr:rowOff>371555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F04D-D4C1-4DF3-B487-78A6BB191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3610479" cy="5715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4</xdr:col>
      <xdr:colOff>810129</xdr:colOff>
      <xdr:row>1</xdr:row>
      <xdr:rowOff>362030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68C33E-E89B-46DD-BCCC-8E1BF10FC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3610479" cy="5715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4</xdr:col>
      <xdr:colOff>810129</xdr:colOff>
      <xdr:row>1</xdr:row>
      <xdr:rowOff>362030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B12B2F-C7C6-4E96-9B69-E7DF00336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3610479" cy="5715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4</xdr:col>
      <xdr:colOff>810129</xdr:colOff>
      <xdr:row>1</xdr:row>
      <xdr:rowOff>371555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11F114-F23C-4259-89A5-0F190FCBB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3610479" cy="5715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4</xdr:col>
      <xdr:colOff>810129</xdr:colOff>
      <xdr:row>1</xdr:row>
      <xdr:rowOff>381080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79F6CB-BE46-441F-BDD5-20EB30C10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3610479" cy="5715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87313</xdr:rowOff>
    </xdr:from>
    <xdr:to>
      <xdr:col>3</xdr:col>
      <xdr:colOff>538666</xdr:colOff>
      <xdr:row>1</xdr:row>
      <xdr:rowOff>381080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6A0C7A-9EC0-4372-85C0-30745FAE6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313"/>
          <a:ext cx="3610479" cy="5715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</xdr:row>
      <xdr:rowOff>104775</xdr:rowOff>
    </xdr:from>
    <xdr:to>
      <xdr:col>13</xdr:col>
      <xdr:colOff>332726</xdr:colOff>
      <xdr:row>19</xdr:row>
      <xdr:rowOff>161527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16A1EF-B3BD-4FF8-A355-03C0CAD0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295275"/>
          <a:ext cx="5190476" cy="31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21</xdr:row>
      <xdr:rowOff>85725</xdr:rowOff>
    </xdr:from>
    <xdr:to>
      <xdr:col>8</xdr:col>
      <xdr:colOff>580707</xdr:colOff>
      <xdr:row>26</xdr:row>
      <xdr:rowOff>85606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0B8D9D-D112-45A8-AE90-2E08010BD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6050" y="3781425"/>
          <a:ext cx="2542857" cy="952381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30</xdr:row>
      <xdr:rowOff>0</xdr:rowOff>
    </xdr:from>
    <xdr:to>
      <xdr:col>13</xdr:col>
      <xdr:colOff>389870</xdr:colOff>
      <xdr:row>45</xdr:row>
      <xdr:rowOff>113909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E0B10EB-0412-44D7-AAC1-8F30479F2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05100" y="5486400"/>
          <a:ext cx="5238095" cy="312380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9</xdr:col>
      <xdr:colOff>18757</xdr:colOff>
      <xdr:row>64</xdr:row>
      <xdr:rowOff>151990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D72138-9E87-425D-ADED-E5459DC04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05125" y="9067800"/>
          <a:ext cx="2342857" cy="327619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9</xdr:col>
      <xdr:colOff>552090</xdr:colOff>
      <xdr:row>76</xdr:row>
      <xdr:rowOff>114071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04ED4AC-9358-4327-88FB-CF83A52AD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05125" y="12763500"/>
          <a:ext cx="2876190" cy="182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search.utsa.edu/Users/kak851/Desktop/Reports/150901_BudgetTemplate/Proposal_Budget_Template_FY16_edit151007_15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1"/>
      <sheetName val="Per2"/>
      <sheetName val="Per3"/>
      <sheetName val="Per4"/>
      <sheetName val="Per5"/>
      <sheetName val="Per6"/>
      <sheetName val="Per7"/>
      <sheetName val="Per8"/>
      <sheetName val="Per9"/>
      <sheetName val="Per10"/>
      <sheetName val="Summary"/>
      <sheetName val="Setup_L4 (RSC use only)"/>
      <sheetName val="Setup_L5 (RSC use only)"/>
      <sheetName val="Setup_L4_(RSC_use_only)"/>
      <sheetName val="Setup_L5_(RSC_use_only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tsa.edu/payroll/fringe_benefit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H60"/>
  <sheetViews>
    <sheetView topLeftCell="A22" workbookViewId="0">
      <selection activeCell="F153" sqref="F153:G154"/>
    </sheetView>
  </sheetViews>
  <sheetFormatPr defaultColWidth="9.28515625" defaultRowHeight="12.75" x14ac:dyDescent="0.2"/>
  <cols>
    <col min="1" max="1" width="22.28515625" style="97" customWidth="1"/>
    <col min="2" max="4" width="9.28515625" style="97"/>
    <col min="5" max="5" width="14.7109375" style="97" bestFit="1" customWidth="1"/>
    <col min="6" max="16384" width="9.28515625" style="97"/>
  </cols>
  <sheetData>
    <row r="1" spans="1:1" ht="18" x14ac:dyDescent="0.25">
      <c r="A1" s="96" t="s">
        <v>0</v>
      </c>
    </row>
    <row r="2" spans="1:1" x14ac:dyDescent="0.2">
      <c r="A2" s="97" t="s">
        <v>1</v>
      </c>
    </row>
    <row r="3" spans="1:1" ht="18" x14ac:dyDescent="0.25">
      <c r="A3" s="96"/>
    </row>
    <row r="4" spans="1:1" x14ac:dyDescent="0.2">
      <c r="A4" s="97" t="s">
        <v>2</v>
      </c>
    </row>
    <row r="5" spans="1:1" ht="18" x14ac:dyDescent="0.25">
      <c r="A5" s="96"/>
    </row>
    <row r="6" spans="1:1" x14ac:dyDescent="0.2">
      <c r="A6" s="97" t="s">
        <v>3</v>
      </c>
    </row>
    <row r="7" spans="1:1" x14ac:dyDescent="0.2">
      <c r="A7" s="97" t="s">
        <v>4</v>
      </c>
    </row>
    <row r="8" spans="1:1" x14ac:dyDescent="0.2">
      <c r="A8" s="97" t="s">
        <v>5</v>
      </c>
    </row>
    <row r="9" spans="1:1" x14ac:dyDescent="0.2">
      <c r="A9" s="97" t="s">
        <v>6</v>
      </c>
    </row>
    <row r="10" spans="1:1" x14ac:dyDescent="0.2">
      <c r="A10" s="97" t="s">
        <v>7</v>
      </c>
    </row>
    <row r="12" spans="1:1" x14ac:dyDescent="0.2">
      <c r="A12" s="97" t="s">
        <v>8</v>
      </c>
    </row>
    <row r="14" spans="1:1" x14ac:dyDescent="0.2">
      <c r="A14" s="97" t="s">
        <v>9</v>
      </c>
    </row>
    <row r="16" spans="1:1" x14ac:dyDescent="0.2">
      <c r="A16" s="98" t="s">
        <v>10</v>
      </c>
    </row>
    <row r="19" spans="1:8" ht="18" x14ac:dyDescent="0.25">
      <c r="A19" s="96" t="s">
        <v>11</v>
      </c>
    </row>
    <row r="20" spans="1:8" x14ac:dyDescent="0.2">
      <c r="A20" s="97" t="s">
        <v>12</v>
      </c>
    </row>
    <row r="21" spans="1:8" ht="18" x14ac:dyDescent="0.25">
      <c r="A21" s="99"/>
    </row>
    <row r="22" spans="1:8" x14ac:dyDescent="0.2">
      <c r="A22" s="97" t="s">
        <v>13</v>
      </c>
    </row>
    <row r="23" spans="1:8" x14ac:dyDescent="0.2">
      <c r="A23" s="97" t="s">
        <v>14</v>
      </c>
    </row>
    <row r="24" spans="1:8" x14ac:dyDescent="0.2">
      <c r="A24" s="97" t="s">
        <v>15</v>
      </c>
    </row>
    <row r="26" spans="1:8" x14ac:dyDescent="0.2">
      <c r="A26" s="97" t="s">
        <v>16</v>
      </c>
    </row>
    <row r="27" spans="1:8" x14ac:dyDescent="0.2">
      <c r="A27" s="97" t="s">
        <v>17</v>
      </c>
    </row>
    <row r="29" spans="1:8" x14ac:dyDescent="0.2">
      <c r="A29" s="97" t="s">
        <v>18</v>
      </c>
    </row>
    <row r="30" spans="1:8" x14ac:dyDescent="0.2">
      <c r="F30" s="97" t="s">
        <v>19</v>
      </c>
      <c r="H30" s="97" t="s">
        <v>20</v>
      </c>
    </row>
    <row r="31" spans="1:8" x14ac:dyDescent="0.2">
      <c r="A31" s="97" t="s">
        <v>21</v>
      </c>
      <c r="B31" s="97">
        <v>1050</v>
      </c>
      <c r="C31" s="97" t="s">
        <v>22</v>
      </c>
      <c r="D31" s="97">
        <f>B31*0.47</f>
        <v>493.5</v>
      </c>
      <c r="E31" s="97" t="s">
        <v>23</v>
      </c>
      <c r="F31" s="97">
        <f>ROUNDUP(D31,0)</f>
        <v>494</v>
      </c>
      <c r="H31" s="97">
        <v>494</v>
      </c>
    </row>
    <row r="32" spans="1:8" x14ac:dyDescent="0.2">
      <c r="A32" s="97" t="s">
        <v>24</v>
      </c>
      <c r="B32" s="97">
        <v>1050</v>
      </c>
      <c r="C32" s="97" t="s">
        <v>22</v>
      </c>
      <c r="D32" s="97">
        <f>B32*0.47</f>
        <v>493.5</v>
      </c>
      <c r="E32" s="97" t="s">
        <v>23</v>
      </c>
      <c r="F32" s="97">
        <f>ROUNDUP(D32,0)</f>
        <v>494</v>
      </c>
      <c r="H32" s="97">
        <v>494</v>
      </c>
    </row>
    <row r="33" spans="1:8" x14ac:dyDescent="0.2">
      <c r="A33" s="100" t="s">
        <v>25</v>
      </c>
      <c r="B33" s="100">
        <v>7900</v>
      </c>
      <c r="C33" s="100" t="s">
        <v>22</v>
      </c>
      <c r="D33" s="100">
        <f>B33*0.47</f>
        <v>3713</v>
      </c>
      <c r="E33" s="100" t="s">
        <v>26</v>
      </c>
      <c r="F33" s="100">
        <f>ROUND(D33,0)</f>
        <v>3713</v>
      </c>
      <c r="H33" s="97">
        <v>3712</v>
      </c>
    </row>
    <row r="34" spans="1:8" x14ac:dyDescent="0.2">
      <c r="A34" s="101" t="s">
        <v>27</v>
      </c>
      <c r="B34" s="97">
        <f>SUM(B31:B33)</f>
        <v>10000</v>
      </c>
      <c r="D34" s="97">
        <f>SUM(D31:D33)</f>
        <v>4700</v>
      </c>
      <c r="F34" s="97">
        <f>SUM(F31:F33)</f>
        <v>4701</v>
      </c>
      <c r="H34" s="102">
        <f>SUM(H31:H33)</f>
        <v>4700</v>
      </c>
    </row>
    <row r="35" spans="1:8" x14ac:dyDescent="0.2">
      <c r="A35" s="101"/>
    </row>
    <row r="37" spans="1:8" x14ac:dyDescent="0.2">
      <c r="A37" s="97" t="s">
        <v>28</v>
      </c>
      <c r="B37" s="97">
        <f>SUM(B31:B33)</f>
        <v>10000</v>
      </c>
      <c r="C37" s="97" t="s">
        <v>22</v>
      </c>
      <c r="D37" s="97">
        <f>B37*0.47</f>
        <v>4700</v>
      </c>
      <c r="E37" s="97" t="s">
        <v>26</v>
      </c>
      <c r="F37" s="97">
        <f>ROUND(D37,0)</f>
        <v>4700</v>
      </c>
    </row>
    <row r="39" spans="1:8" x14ac:dyDescent="0.2">
      <c r="A39" s="97" t="s">
        <v>29</v>
      </c>
    </row>
    <row r="40" spans="1:8" x14ac:dyDescent="0.2">
      <c r="A40" s="97" t="s">
        <v>30</v>
      </c>
    </row>
    <row r="44" spans="1:8" ht="18" x14ac:dyDescent="0.25">
      <c r="A44" s="96" t="s">
        <v>31</v>
      </c>
    </row>
    <row r="45" spans="1:8" x14ac:dyDescent="0.2">
      <c r="A45" s="103" t="s">
        <v>32</v>
      </c>
    </row>
    <row r="46" spans="1:8" x14ac:dyDescent="0.2">
      <c r="A46" s="97" t="s">
        <v>33</v>
      </c>
    </row>
    <row r="47" spans="1:8" x14ac:dyDescent="0.2">
      <c r="A47" s="97" t="s">
        <v>34</v>
      </c>
    </row>
    <row r="48" spans="1:8" x14ac:dyDescent="0.2">
      <c r="A48" s="97" t="s">
        <v>35</v>
      </c>
    </row>
    <row r="50" spans="1:1" x14ac:dyDescent="0.2">
      <c r="A50" s="97" t="s">
        <v>36</v>
      </c>
    </row>
    <row r="53" spans="1:1" ht="18" x14ac:dyDescent="0.25">
      <c r="A53" s="96" t="s">
        <v>37</v>
      </c>
    </row>
    <row r="54" spans="1:1" x14ac:dyDescent="0.2">
      <c r="A54" s="97" t="s">
        <v>38</v>
      </c>
    </row>
    <row r="55" spans="1:1" x14ac:dyDescent="0.2">
      <c r="A55" s="97" t="s">
        <v>39</v>
      </c>
    </row>
    <row r="56" spans="1:1" x14ac:dyDescent="0.2">
      <c r="A56" s="97" t="s">
        <v>40</v>
      </c>
    </row>
    <row r="59" spans="1:1" ht="18" x14ac:dyDescent="0.25">
      <c r="A59" s="96" t="s">
        <v>41</v>
      </c>
    </row>
    <row r="60" spans="1:1" x14ac:dyDescent="0.2">
      <c r="A60" s="97" t="s">
        <v>42</v>
      </c>
    </row>
  </sheetData>
  <hyperlinks>
    <hyperlink ref="A45" r:id="rId1" xr:uid="{00000000-0004-0000-0000-000000000000}"/>
  </hyperlinks>
  <pageMargins left="0.25" right="0.25" top="0.5" bottom="0.5" header="0" footer="0"/>
  <pageSetup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1:A50"/>
  <sheetViews>
    <sheetView workbookViewId="0">
      <selection activeCell="F153" sqref="F153:G154"/>
    </sheetView>
  </sheetViews>
  <sheetFormatPr defaultColWidth="8.7109375" defaultRowHeight="15" x14ac:dyDescent="0.25"/>
  <cols>
    <col min="1" max="16384" width="8.7109375" style="105"/>
  </cols>
  <sheetData>
    <row r="1" spans="1:1" ht="21" x14ac:dyDescent="0.35">
      <c r="A1" s="104" t="s">
        <v>43</v>
      </c>
    </row>
    <row r="2" spans="1:1" x14ac:dyDescent="0.25">
      <c r="A2" s="105" t="s">
        <v>44</v>
      </c>
    </row>
    <row r="3" spans="1:1" x14ac:dyDescent="0.25">
      <c r="A3" s="105" t="s">
        <v>45</v>
      </c>
    </row>
    <row r="4" spans="1:1" x14ac:dyDescent="0.25">
      <c r="A4" s="105" t="s">
        <v>46</v>
      </c>
    </row>
    <row r="5" spans="1:1" x14ac:dyDescent="0.25">
      <c r="A5" s="105" t="s">
        <v>47</v>
      </c>
    </row>
    <row r="7" spans="1:1" hidden="1" x14ac:dyDescent="0.25"/>
    <row r="8" spans="1:1" hidden="1" x14ac:dyDescent="0.25"/>
    <row r="36" spans="1:1" ht="21" x14ac:dyDescent="0.35">
      <c r="A36" s="104" t="s">
        <v>48</v>
      </c>
    </row>
    <row r="37" spans="1:1" x14ac:dyDescent="0.25">
      <c r="A37" s="105" t="s">
        <v>49</v>
      </c>
    </row>
    <row r="38" spans="1:1" x14ac:dyDescent="0.25">
      <c r="A38" s="105" t="s">
        <v>50</v>
      </c>
    </row>
    <row r="39" spans="1:1" x14ac:dyDescent="0.25">
      <c r="A39" s="105" t="s">
        <v>51</v>
      </c>
    </row>
    <row r="42" spans="1:1" ht="21" x14ac:dyDescent="0.35">
      <c r="A42" s="104" t="s">
        <v>52</v>
      </c>
    </row>
    <row r="43" spans="1:1" x14ac:dyDescent="0.25">
      <c r="A43" s="105" t="s">
        <v>53</v>
      </c>
    </row>
    <row r="44" spans="1:1" x14ac:dyDescent="0.25">
      <c r="A44" s="105" t="s">
        <v>54</v>
      </c>
    </row>
    <row r="45" spans="1:1" x14ac:dyDescent="0.25">
      <c r="A45" s="105" t="s">
        <v>55</v>
      </c>
    </row>
    <row r="46" spans="1:1" x14ac:dyDescent="0.25">
      <c r="A46" s="105" t="s">
        <v>56</v>
      </c>
    </row>
    <row r="48" spans="1:1" ht="21" x14ac:dyDescent="0.35">
      <c r="A48" s="104" t="s">
        <v>57</v>
      </c>
    </row>
    <row r="49" spans="1:1" x14ac:dyDescent="0.25">
      <c r="A49" s="105" t="s">
        <v>58</v>
      </c>
    </row>
    <row r="50" spans="1:1" x14ac:dyDescent="0.25">
      <c r="A50" s="105" t="s">
        <v>59</v>
      </c>
    </row>
  </sheetData>
  <pageMargins left="0.25" right="0.25" top="0.5" bottom="0.5" header="0" footer="0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58"/>
  <sheetViews>
    <sheetView tabSelected="1" topLeftCell="A71" zoomScale="80" zoomScaleNormal="80" zoomScalePageLayoutView="85" workbookViewId="0">
      <selection activeCell="J101" sqref="J101"/>
    </sheetView>
  </sheetViews>
  <sheetFormatPr defaultColWidth="8.7109375" defaultRowHeight="12.75" x14ac:dyDescent="0.2"/>
  <cols>
    <col min="1" max="1" width="4.28515625" style="1" customWidth="1"/>
    <col min="2" max="2" width="14.28515625" style="1" customWidth="1"/>
    <col min="3" max="3" width="23.7109375" style="1" customWidth="1"/>
    <col min="4" max="4" width="9.7109375" style="1" customWidth="1"/>
    <col min="5" max="5" width="14.7109375" style="1" customWidth="1"/>
    <col min="6" max="6" width="16.85546875" style="1" customWidth="1"/>
    <col min="7" max="7" width="11.28515625" style="1" customWidth="1"/>
    <col min="8" max="8" width="9" style="1" customWidth="1"/>
    <col min="9" max="9" width="8.7109375" style="1" customWidth="1"/>
    <col min="10" max="10" width="11.7109375" style="2" customWidth="1"/>
    <col min="11" max="11" width="28.5703125" style="2" customWidth="1"/>
    <col min="12" max="12" width="12.7109375" style="1" customWidth="1"/>
    <col min="13" max="13" width="14.85546875" style="1" customWidth="1"/>
    <col min="14" max="14" width="19.85546875" style="1" customWidth="1"/>
    <col min="15" max="15" width="17.28515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7109375" style="1"/>
  </cols>
  <sheetData>
    <row r="1" spans="1:18" s="3" customFormat="1" ht="22.15" customHeight="1" x14ac:dyDescent="0.2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126"/>
    </row>
    <row r="2" spans="1:18" s="3" customFormat="1" ht="35.25" customHeight="1" thickBot="1" x14ac:dyDescent="0.3">
      <c r="A2" s="512" t="s">
        <v>60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127"/>
      <c r="Q2" s="223" t="s">
        <v>61</v>
      </c>
    </row>
    <row r="3" spans="1:18" s="3" customFormat="1" ht="12" customHeight="1" x14ac:dyDescent="0.25">
      <c r="A3" s="514" t="s">
        <v>62</v>
      </c>
      <c r="B3" s="515"/>
      <c r="C3" s="515"/>
      <c r="D3" s="456"/>
      <c r="E3" s="456"/>
      <c r="F3" s="456"/>
      <c r="G3" s="24"/>
      <c r="H3" s="122"/>
      <c r="I3" s="122"/>
      <c r="J3" s="122"/>
      <c r="K3" s="460" t="s">
        <v>63</v>
      </c>
      <c r="L3" s="461"/>
      <c r="M3" s="516" t="s">
        <v>64</v>
      </c>
      <c r="N3" s="517"/>
      <c r="O3" s="518"/>
      <c r="P3" s="28"/>
      <c r="Q3" s="107"/>
    </row>
    <row r="4" spans="1:18" ht="12" customHeight="1" thickBot="1" x14ac:dyDescent="0.3">
      <c r="A4" s="483"/>
      <c r="B4" s="484"/>
      <c r="C4" s="484"/>
      <c r="D4" s="457"/>
      <c r="E4" s="457"/>
      <c r="F4" s="457"/>
      <c r="G4" s="119"/>
      <c r="H4" s="123"/>
      <c r="I4" s="123"/>
      <c r="J4" s="123"/>
      <c r="K4" s="462"/>
      <c r="L4" s="463"/>
      <c r="M4" s="519" t="s">
        <v>65</v>
      </c>
      <c r="N4" s="520"/>
      <c r="O4" s="521"/>
      <c r="P4" s="128"/>
      <c r="Q4" s="14" t="s">
        <v>66</v>
      </c>
    </row>
    <row r="5" spans="1:18" ht="12" customHeight="1" thickBot="1" x14ac:dyDescent="0.3">
      <c r="A5" s="483" t="s">
        <v>67</v>
      </c>
      <c r="B5" s="484"/>
      <c r="C5" s="484"/>
      <c r="D5" s="458"/>
      <c r="E5" s="458"/>
      <c r="F5" s="458"/>
      <c r="G5" s="52"/>
      <c r="H5" s="53"/>
      <c r="I5" s="53"/>
      <c r="J5" s="35"/>
      <c r="K5" s="459" t="s">
        <v>68</v>
      </c>
      <c r="L5" s="522">
        <v>45536</v>
      </c>
      <c r="M5" s="129"/>
      <c r="N5" s="130" t="s">
        <v>69</v>
      </c>
      <c r="O5" s="131" t="s">
        <v>70</v>
      </c>
      <c r="P5" s="132"/>
      <c r="Q5" s="255" t="s">
        <v>71</v>
      </c>
      <c r="R5" s="133"/>
    </row>
    <row r="6" spans="1:18" ht="12" customHeight="1" thickTop="1" x14ac:dyDescent="0.25">
      <c r="A6" s="483"/>
      <c r="B6" s="484"/>
      <c r="C6" s="484"/>
      <c r="D6" s="457"/>
      <c r="E6" s="457"/>
      <c r="F6" s="457"/>
      <c r="G6" s="119"/>
      <c r="H6" s="53"/>
      <c r="I6" s="53"/>
      <c r="J6" s="35"/>
      <c r="K6" s="459"/>
      <c r="L6" s="489"/>
      <c r="M6" s="134" t="s">
        <v>72</v>
      </c>
      <c r="N6" s="356">
        <v>1453.34</v>
      </c>
      <c r="O6" s="357">
        <v>726.68</v>
      </c>
      <c r="P6" s="135"/>
      <c r="Q6" s="14" t="s">
        <v>73</v>
      </c>
    </row>
    <row r="7" spans="1:18" ht="12" customHeight="1" x14ac:dyDescent="0.2">
      <c r="A7" s="483" t="s">
        <v>74</v>
      </c>
      <c r="B7" s="484"/>
      <c r="C7" s="484"/>
      <c r="D7" s="498"/>
      <c r="E7" s="498"/>
      <c r="F7" s="498"/>
      <c r="G7" s="498"/>
      <c r="H7" s="498"/>
      <c r="I7" s="498"/>
      <c r="J7" s="498"/>
      <c r="K7" s="459" t="s">
        <v>75</v>
      </c>
      <c r="L7" s="488">
        <f>EDATE(L5,12)-1</f>
        <v>45900</v>
      </c>
      <c r="M7" s="136" t="s">
        <v>76</v>
      </c>
      <c r="N7" s="358">
        <v>1041.9000000000001</v>
      </c>
      <c r="O7" s="359">
        <v>520.96</v>
      </c>
      <c r="P7" s="135"/>
      <c r="Q7" s="1" t="s">
        <v>77</v>
      </c>
    </row>
    <row r="8" spans="1:18" ht="12.75" customHeight="1" x14ac:dyDescent="0.2">
      <c r="A8" s="483"/>
      <c r="B8" s="484"/>
      <c r="C8" s="484"/>
      <c r="D8" s="498"/>
      <c r="E8" s="498"/>
      <c r="F8" s="498"/>
      <c r="G8" s="498"/>
      <c r="H8" s="498"/>
      <c r="I8" s="498"/>
      <c r="J8" s="498"/>
      <c r="K8" s="459"/>
      <c r="L8" s="489"/>
      <c r="M8" s="136" t="s">
        <v>78</v>
      </c>
      <c r="N8" s="358">
        <v>1189.2</v>
      </c>
      <c r="O8" s="359">
        <v>594.6</v>
      </c>
      <c r="P8" s="135"/>
    </row>
    <row r="9" spans="1:18" ht="12.75" customHeight="1" x14ac:dyDescent="0.25">
      <c r="A9" s="483"/>
      <c r="B9" s="484"/>
      <c r="C9" s="484"/>
      <c r="D9" s="498"/>
      <c r="E9" s="498"/>
      <c r="F9" s="498"/>
      <c r="G9" s="498"/>
      <c r="H9" s="498"/>
      <c r="I9" s="498"/>
      <c r="J9" s="498"/>
      <c r="K9" s="251"/>
      <c r="L9" s="323"/>
      <c r="M9" s="253" t="s">
        <v>79</v>
      </c>
      <c r="N9" s="360">
        <v>780.24</v>
      </c>
      <c r="O9" s="361">
        <v>390.12</v>
      </c>
      <c r="P9" s="135"/>
    </row>
    <row r="10" spans="1:18" ht="12" customHeight="1" thickBot="1" x14ac:dyDescent="0.3">
      <c r="A10" s="485"/>
      <c r="B10" s="486"/>
      <c r="C10" s="486"/>
      <c r="D10" s="499"/>
      <c r="E10" s="499"/>
      <c r="F10" s="499"/>
      <c r="G10" s="499"/>
      <c r="H10" s="499"/>
      <c r="I10" s="499"/>
      <c r="J10" s="499"/>
      <c r="K10" s="120"/>
      <c r="L10" s="26"/>
      <c r="M10" s="137" t="s">
        <v>80</v>
      </c>
      <c r="N10" s="362" t="s">
        <v>81</v>
      </c>
      <c r="O10" s="363">
        <v>746.09</v>
      </c>
      <c r="P10" s="135"/>
      <c r="Q10" s="254"/>
    </row>
    <row r="11" spans="1:18" ht="13.5" hidden="1" thickBot="1" x14ac:dyDescent="0.25">
      <c r="A11"/>
      <c r="B11" s="210"/>
      <c r="C11" s="210"/>
      <c r="D11" s="210"/>
      <c r="E11" s="279" t="s">
        <v>82</v>
      </c>
      <c r="F11" s="305" t="s">
        <v>83</v>
      </c>
      <c r="G11" s="306" t="s">
        <v>84</v>
      </c>
      <c r="H11" s="307" t="s">
        <v>85</v>
      </c>
      <c r="I11" s="211" t="s">
        <v>86</v>
      </c>
      <c r="J11" s="308" t="s">
        <v>87</v>
      </c>
      <c r="K11" s="210"/>
      <c r="L11" s="210"/>
      <c r="M11" s="210"/>
      <c r="N11" s="211" t="s">
        <v>88</v>
      </c>
      <c r="O11" s="212">
        <v>0</v>
      </c>
      <c r="P11" s="138"/>
    </row>
    <row r="12" spans="1:18" hidden="1" x14ac:dyDescent="0.2">
      <c r="A12"/>
      <c r="B12" s="279" t="s">
        <v>82</v>
      </c>
      <c r="C12" s="275">
        <f>1/900</f>
        <v>1.1111111111111111E-3</v>
      </c>
      <c r="D12" s="214"/>
      <c r="E12" s="287" t="s">
        <v>88</v>
      </c>
      <c r="F12" s="280" t="s">
        <v>88</v>
      </c>
      <c r="G12" s="297" t="s">
        <v>88</v>
      </c>
      <c r="H12" s="298" t="s">
        <v>88</v>
      </c>
      <c r="I12" s="210" t="s">
        <v>88</v>
      </c>
      <c r="J12" s="299" t="s">
        <v>88</v>
      </c>
      <c r="K12" s="279" t="str">
        <f>B12&amp;M6</f>
        <v>FT_BE_09Emp/Family</v>
      </c>
      <c r="L12" s="273">
        <f>N6</f>
        <v>1453.34</v>
      </c>
      <c r="M12" s="274">
        <v>0.18</v>
      </c>
      <c r="N12" s="275">
        <v>100</v>
      </c>
      <c r="O12" s="210"/>
    </row>
    <row r="13" spans="1:18" hidden="1" x14ac:dyDescent="0.2">
      <c r="A13"/>
      <c r="B13" s="283" t="s">
        <v>83</v>
      </c>
      <c r="C13" s="282">
        <f>1/1200</f>
        <v>8.3333333333333339E-4</v>
      </c>
      <c r="D13" s="214"/>
      <c r="E13" s="309" t="s">
        <v>72</v>
      </c>
      <c r="F13" s="300" t="s">
        <v>72</v>
      </c>
      <c r="G13" s="301" t="s">
        <v>72</v>
      </c>
      <c r="H13" s="298" t="s">
        <v>89</v>
      </c>
      <c r="I13" s="210"/>
      <c r="J13" s="299" t="s">
        <v>89</v>
      </c>
      <c r="K13" s="287" t="str">
        <f>B12&amp;M7</f>
        <v>FT_BE_09Emp/Child</v>
      </c>
      <c r="L13" s="294">
        <f>N7</f>
        <v>1041.9000000000001</v>
      </c>
      <c r="M13" s="277">
        <v>0.18</v>
      </c>
      <c r="N13" s="278">
        <v>100</v>
      </c>
      <c r="O13" s="210"/>
    </row>
    <row r="14" spans="1:18" hidden="1" x14ac:dyDescent="0.2">
      <c r="A14"/>
      <c r="B14" s="284" t="s">
        <v>84</v>
      </c>
      <c r="C14" s="286">
        <f>1/1200</f>
        <v>8.3333333333333339E-4</v>
      </c>
      <c r="D14" s="214"/>
      <c r="E14" s="309" t="s">
        <v>76</v>
      </c>
      <c r="F14" s="300" t="s">
        <v>76</v>
      </c>
      <c r="G14" s="301" t="s">
        <v>76</v>
      </c>
      <c r="H14" s="298"/>
      <c r="I14" s="210"/>
      <c r="J14" s="299"/>
      <c r="K14" s="287" t="str">
        <f>B12&amp;M8</f>
        <v>FT_BE_09Emp/Spouse</v>
      </c>
      <c r="L14" s="294">
        <f>N8</f>
        <v>1189.2</v>
      </c>
      <c r="M14" s="277">
        <v>0.18</v>
      </c>
      <c r="N14" s="278">
        <v>100</v>
      </c>
      <c r="O14" s="210"/>
    </row>
    <row r="15" spans="1:18" hidden="1" x14ac:dyDescent="0.2">
      <c r="A15"/>
      <c r="B15" s="288" t="s">
        <v>85</v>
      </c>
      <c r="C15" s="290">
        <f>1/1200</f>
        <v>8.3333333333333339E-4</v>
      </c>
      <c r="D15" s="214"/>
      <c r="E15" s="309" t="s">
        <v>78</v>
      </c>
      <c r="F15" s="300" t="s">
        <v>78</v>
      </c>
      <c r="G15" s="301" t="s">
        <v>78</v>
      </c>
      <c r="H15" s="298"/>
      <c r="I15" s="210"/>
      <c r="J15" s="299"/>
      <c r="K15" s="287" t="str">
        <f>B12&amp;M9</f>
        <v>FT_BE_09Emp Only</v>
      </c>
      <c r="L15" s="294">
        <f>N9</f>
        <v>780.24</v>
      </c>
      <c r="M15" s="277">
        <v>0.18</v>
      </c>
      <c r="N15" s="278">
        <v>100</v>
      </c>
      <c r="O15" s="210"/>
    </row>
    <row r="16" spans="1:18" hidden="1" x14ac:dyDescent="0.2">
      <c r="A16"/>
      <c r="B16" s="291" t="s">
        <v>87</v>
      </c>
      <c r="C16" s="293">
        <v>1</v>
      </c>
      <c r="D16" s="214"/>
      <c r="E16" s="310" t="s">
        <v>79</v>
      </c>
      <c r="F16" s="302" t="s">
        <v>79</v>
      </c>
      <c r="G16" s="303" t="s">
        <v>79</v>
      </c>
      <c r="H16" s="304"/>
      <c r="I16" s="29"/>
      <c r="J16" s="318"/>
      <c r="K16" s="283" t="str">
        <f>B13&amp;M6</f>
        <v>FT_BE_12Emp/Family</v>
      </c>
      <c r="L16" s="295">
        <f>N6</f>
        <v>1453.34</v>
      </c>
      <c r="M16" s="281">
        <v>0.18</v>
      </c>
      <c r="N16" s="282">
        <v>100</v>
      </c>
      <c r="O16" s="210"/>
    </row>
    <row r="17" spans="1:15" ht="13.5" hidden="1" thickBot="1" x14ac:dyDescent="0.25">
      <c r="A17"/>
      <c r="B17" s="215" t="s">
        <v>86</v>
      </c>
      <c r="C17" s="216">
        <v>0</v>
      </c>
      <c r="D17" s="214"/>
      <c r="E17" s="287" t="s">
        <v>89</v>
      </c>
      <c r="F17" s="300" t="s">
        <v>89</v>
      </c>
      <c r="G17" s="301" t="s">
        <v>80</v>
      </c>
      <c r="H17" s="298"/>
      <c r="I17" s="210"/>
      <c r="J17" s="299"/>
      <c r="K17" s="283" t="str">
        <f>B13&amp;M7</f>
        <v>FT_BE_12Emp/Child</v>
      </c>
      <c r="L17" s="295">
        <f t="shared" ref="L17:L19" si="0">N7</f>
        <v>1041.9000000000001</v>
      </c>
      <c r="M17" s="281">
        <v>0.18</v>
      </c>
      <c r="N17" s="282">
        <v>100</v>
      </c>
      <c r="O17" s="210"/>
    </row>
    <row r="18" spans="1:15" ht="13.5" hidden="1" thickBot="1" x14ac:dyDescent="0.25">
      <c r="A18"/>
      <c r="B18" s="210"/>
      <c r="C18" s="210"/>
      <c r="D18" s="210"/>
      <c r="E18" s="312"/>
      <c r="F18" s="313"/>
      <c r="G18" s="314" t="s">
        <v>89</v>
      </c>
      <c r="H18" s="315"/>
      <c r="I18" s="217"/>
      <c r="J18" s="319"/>
      <c r="K18" s="283" t="str">
        <f>B13&amp;M8</f>
        <v>FT_BE_12Emp/Spouse</v>
      </c>
      <c r="L18" s="295">
        <f t="shared" si="0"/>
        <v>1189.2</v>
      </c>
      <c r="M18" s="281">
        <v>0.18</v>
      </c>
      <c r="N18" s="282">
        <v>100</v>
      </c>
      <c r="O18" s="210"/>
    </row>
    <row r="19" spans="1:15" hidden="1" x14ac:dyDescent="0.2">
      <c r="A19"/>
      <c r="B19" s="210"/>
      <c r="C19" s="210"/>
      <c r="D19" s="210"/>
      <c r="E19" s="210"/>
      <c r="F19" s="210"/>
      <c r="G19" s="210"/>
      <c r="H19" s="210"/>
      <c r="I19" s="210"/>
      <c r="J19" s="210"/>
      <c r="K19" s="283" t="str">
        <f>B13&amp;M9</f>
        <v>FT_BE_12Emp Only</v>
      </c>
      <c r="L19" s="295">
        <f t="shared" si="0"/>
        <v>780.24</v>
      </c>
      <c r="M19" s="281">
        <v>0.18</v>
      </c>
      <c r="N19" s="282">
        <v>100</v>
      </c>
      <c r="O19" s="210"/>
    </row>
    <row r="20" spans="1:15" hidden="1" x14ac:dyDescent="0.2">
      <c r="A20"/>
      <c r="B20" s="210"/>
      <c r="C20" s="210"/>
      <c r="D20" s="210"/>
      <c r="E20" s="210"/>
      <c r="F20" s="210"/>
      <c r="G20" s="210"/>
      <c r="H20" s="210"/>
      <c r="I20" s="210"/>
      <c r="J20" s="210"/>
      <c r="K20" s="283" t="str">
        <f>B13&amp;F17</f>
        <v>FT_BE_12None</v>
      </c>
      <c r="L20" s="295">
        <v>0</v>
      </c>
      <c r="M20" s="281">
        <v>0.18</v>
      </c>
      <c r="N20" s="282">
        <v>0</v>
      </c>
      <c r="O20" s="210"/>
    </row>
    <row r="21" spans="1:15" hidden="1" x14ac:dyDescent="0.2">
      <c r="A21"/>
      <c r="B21" s="210"/>
      <c r="C21" s="210"/>
      <c r="D21" s="210"/>
      <c r="E21" s="210"/>
      <c r="F21" s="210"/>
      <c r="G21" s="210"/>
      <c r="H21" s="210"/>
      <c r="I21" s="210"/>
      <c r="J21" s="210"/>
      <c r="K21" s="284" t="str">
        <f>B14&amp;M6</f>
        <v>PT_BE_12Emp/Family</v>
      </c>
      <c r="L21" s="296">
        <f>N6</f>
        <v>1453.34</v>
      </c>
      <c r="M21" s="285">
        <v>0.18</v>
      </c>
      <c r="N21" s="286">
        <v>50</v>
      </c>
      <c r="O21" s="210"/>
    </row>
    <row r="22" spans="1:15" hidden="1" x14ac:dyDescent="0.2">
      <c r="A22"/>
      <c r="B22" s="210"/>
      <c r="C22" s="210"/>
      <c r="D22" s="210"/>
      <c r="E22" s="210"/>
      <c r="F22" s="210"/>
      <c r="G22" s="210"/>
      <c r="H22" s="210"/>
      <c r="I22" s="210"/>
      <c r="J22" s="210"/>
      <c r="K22" s="284" t="str">
        <f>B14&amp;M7</f>
        <v>PT_BE_12Emp/Child</v>
      </c>
      <c r="L22" s="296">
        <f t="shared" ref="L22:L24" si="1">N7</f>
        <v>1041.9000000000001</v>
      </c>
      <c r="M22" s="285">
        <v>0.18</v>
      </c>
      <c r="N22" s="286">
        <v>50</v>
      </c>
      <c r="O22" s="210"/>
    </row>
    <row r="23" spans="1:15" hidden="1" x14ac:dyDescent="0.2">
      <c r="A23"/>
      <c r="B23" s="210"/>
      <c r="C23" s="210"/>
      <c r="D23" s="210"/>
      <c r="E23" s="210"/>
      <c r="F23" s="210"/>
      <c r="G23" s="210"/>
      <c r="H23" s="210"/>
      <c r="I23" s="210"/>
      <c r="J23" s="210"/>
      <c r="K23" s="284" t="str">
        <f>B14&amp;M8</f>
        <v>PT_BE_12Emp/Spouse</v>
      </c>
      <c r="L23" s="296">
        <f t="shared" si="1"/>
        <v>1189.2</v>
      </c>
      <c r="M23" s="285">
        <v>0.18</v>
      </c>
      <c r="N23" s="286">
        <v>50</v>
      </c>
      <c r="O23" s="210"/>
    </row>
    <row r="24" spans="1:15" hidden="1" x14ac:dyDescent="0.2">
      <c r="A24"/>
      <c r="B24" s="210"/>
      <c r="C24" s="210"/>
      <c r="D24" s="210"/>
      <c r="E24" s="210"/>
      <c r="F24" s="210"/>
      <c r="G24" s="210"/>
      <c r="H24" s="210"/>
      <c r="I24" s="210"/>
      <c r="J24" s="210"/>
      <c r="K24" s="284" t="str">
        <f>B14&amp;M9</f>
        <v>PT_BE_12Emp Only</v>
      </c>
      <c r="L24" s="296">
        <f t="shared" si="1"/>
        <v>780.24</v>
      </c>
      <c r="M24" s="285">
        <v>0.18</v>
      </c>
      <c r="N24" s="286">
        <v>50</v>
      </c>
      <c r="O24" s="210"/>
    </row>
    <row r="25" spans="1:15" hidden="1" x14ac:dyDescent="0.2">
      <c r="A25"/>
      <c r="B25" s="210"/>
      <c r="C25" s="210"/>
      <c r="D25" s="210"/>
      <c r="E25" s="210"/>
      <c r="F25" s="210"/>
      <c r="G25" s="210"/>
      <c r="H25" s="210"/>
      <c r="I25" s="210"/>
      <c r="J25" s="210"/>
      <c r="K25" s="284" t="str">
        <f>B14&amp;G17</f>
        <v>PT_BE_12Grad Res Asst</v>
      </c>
      <c r="L25" s="296">
        <f>O10</f>
        <v>746.09</v>
      </c>
      <c r="M25" s="285">
        <v>0.08</v>
      </c>
      <c r="N25" s="286">
        <v>100</v>
      </c>
      <c r="O25" s="210"/>
    </row>
    <row r="26" spans="1:15" hidden="1" x14ac:dyDescent="0.2">
      <c r="A26"/>
      <c r="B26" s="210"/>
      <c r="C26" s="210"/>
      <c r="D26" s="210"/>
      <c r="E26" s="210"/>
      <c r="F26" s="210"/>
      <c r="G26" s="210"/>
      <c r="H26" s="210"/>
      <c r="I26" s="210"/>
      <c r="J26" s="210"/>
      <c r="K26" s="284" t="str">
        <f>B14&amp;G18</f>
        <v>PT_BE_12None</v>
      </c>
      <c r="L26" s="296">
        <v>0</v>
      </c>
      <c r="M26" s="285">
        <v>0.08</v>
      </c>
      <c r="N26" s="286">
        <v>0</v>
      </c>
      <c r="O26" s="210"/>
    </row>
    <row r="27" spans="1:15" hidden="1" x14ac:dyDescent="0.2">
      <c r="A27"/>
      <c r="B27" s="210"/>
      <c r="C27" s="210"/>
      <c r="D27" s="210"/>
      <c r="E27" s="210"/>
      <c r="F27" s="210"/>
      <c r="G27" s="210"/>
      <c r="H27" s="210"/>
      <c r="I27" s="210"/>
      <c r="J27" s="210"/>
      <c r="K27" s="284" t="str">
        <f>B14&amp;G12</f>
        <v>PT_BE_12Select One</v>
      </c>
      <c r="L27" s="297">
        <v>0</v>
      </c>
      <c r="M27" s="285">
        <v>0</v>
      </c>
      <c r="N27" s="286">
        <v>0</v>
      </c>
      <c r="O27" s="210"/>
    </row>
    <row r="28" spans="1:15" hidden="1" x14ac:dyDescent="0.2">
      <c r="A28"/>
      <c r="B28" s="210"/>
      <c r="C28" s="210"/>
      <c r="D28" s="210"/>
      <c r="E28" s="210"/>
      <c r="F28" s="210"/>
      <c r="G28" s="210"/>
      <c r="H28" s="210"/>
      <c r="I28" s="210"/>
      <c r="J28" s="210"/>
      <c r="K28" s="288" t="str">
        <f>B15&amp;H13</f>
        <v>PT_NB_12None</v>
      </c>
      <c r="L28" s="298">
        <v>0</v>
      </c>
      <c r="M28" s="289">
        <v>0.08</v>
      </c>
      <c r="N28" s="290">
        <v>0</v>
      </c>
      <c r="O28" s="210"/>
    </row>
    <row r="29" spans="1:15" hidden="1" x14ac:dyDescent="0.2">
      <c r="A29"/>
      <c r="B29" s="210"/>
      <c r="C29" s="210"/>
      <c r="D29" s="210"/>
      <c r="E29" s="210"/>
      <c r="F29" s="210"/>
      <c r="G29" s="210"/>
      <c r="H29" s="210"/>
      <c r="I29" s="210"/>
      <c r="J29" s="210"/>
      <c r="K29" s="291" t="str">
        <f>B16&amp;J13</f>
        <v>HourlyNone</v>
      </c>
      <c r="L29" s="299">
        <v>0</v>
      </c>
      <c r="M29" s="292">
        <v>0.08</v>
      </c>
      <c r="N29" s="293">
        <v>0</v>
      </c>
      <c r="O29" s="210"/>
    </row>
    <row r="30" spans="1:15" hidden="1" x14ac:dyDescent="0.2">
      <c r="A30"/>
      <c r="B30" s="210"/>
      <c r="C30" s="210"/>
      <c r="D30" s="210"/>
      <c r="E30" s="210"/>
      <c r="F30" s="210"/>
      <c r="G30" s="210"/>
      <c r="H30" s="210"/>
      <c r="I30" s="210"/>
      <c r="J30" s="210"/>
      <c r="K30" s="287" t="str">
        <f>B12&amp;E12</f>
        <v>FT_BE_09Select One</v>
      </c>
      <c r="L30" s="276">
        <v>0</v>
      </c>
      <c r="M30" s="277">
        <v>0</v>
      </c>
      <c r="N30" s="278">
        <v>0</v>
      </c>
      <c r="O30" s="210"/>
    </row>
    <row r="31" spans="1:15" hidden="1" x14ac:dyDescent="0.2">
      <c r="A31"/>
      <c r="B31" s="210"/>
      <c r="C31" s="210"/>
      <c r="D31" s="210"/>
      <c r="E31" s="210"/>
      <c r="F31" s="210"/>
      <c r="G31" s="210"/>
      <c r="H31" s="210"/>
      <c r="I31" s="210"/>
      <c r="J31" s="210"/>
      <c r="K31" s="283" t="str">
        <f>B13&amp;F12</f>
        <v>FT_BE_12Select One</v>
      </c>
      <c r="L31" s="280">
        <v>0</v>
      </c>
      <c r="M31" s="281">
        <v>0</v>
      </c>
      <c r="N31" s="282">
        <v>0</v>
      </c>
      <c r="O31" s="210"/>
    </row>
    <row r="32" spans="1:15" hidden="1" x14ac:dyDescent="0.2">
      <c r="A32"/>
      <c r="B32" s="210"/>
      <c r="C32" s="210"/>
      <c r="D32" s="210"/>
      <c r="E32" s="210"/>
      <c r="F32" s="210"/>
      <c r="G32" s="210"/>
      <c r="H32" s="210"/>
      <c r="I32" s="210"/>
      <c r="J32" s="210"/>
      <c r="K32" s="287" t="str">
        <f>B12&amp;E17</f>
        <v>FT_BE_09None</v>
      </c>
      <c r="L32" s="276">
        <v>0</v>
      </c>
      <c r="M32" s="277">
        <v>0.18</v>
      </c>
      <c r="N32" s="278">
        <v>0</v>
      </c>
      <c r="O32" s="210"/>
    </row>
    <row r="33" spans="1:19" hidden="1" x14ac:dyDescent="0.2">
      <c r="A33"/>
      <c r="B33" s="210"/>
      <c r="C33" s="210"/>
      <c r="D33" s="210"/>
      <c r="E33" s="210"/>
      <c r="F33" s="210"/>
      <c r="G33" s="210"/>
      <c r="H33" s="210"/>
      <c r="I33" s="210"/>
      <c r="J33" s="210"/>
      <c r="K33" s="288" t="str">
        <f>B15&amp;H12</f>
        <v>PT_NB_12Select One</v>
      </c>
      <c r="L33" s="298">
        <v>0</v>
      </c>
      <c r="M33" s="289">
        <v>0</v>
      </c>
      <c r="N33" s="290">
        <v>0</v>
      </c>
      <c r="O33" s="210"/>
    </row>
    <row r="34" spans="1:19" hidden="1" x14ac:dyDescent="0.2">
      <c r="A34"/>
      <c r="B34" s="210"/>
      <c r="C34" s="210"/>
      <c r="D34" s="210"/>
      <c r="E34" s="210"/>
      <c r="F34" s="210"/>
      <c r="G34" s="210"/>
      <c r="H34" s="210"/>
      <c r="I34" s="210"/>
      <c r="J34" s="210"/>
      <c r="K34" s="291" t="str">
        <f>B16&amp;J12</f>
        <v>HourlySelect One</v>
      </c>
      <c r="L34" s="299">
        <v>0</v>
      </c>
      <c r="M34" s="292">
        <v>0</v>
      </c>
      <c r="N34" s="293">
        <v>0</v>
      </c>
      <c r="O34" s="210"/>
    </row>
    <row r="35" spans="1:19" ht="13.5" hidden="1" thickBot="1" x14ac:dyDescent="0.25">
      <c r="A35"/>
      <c r="B35" s="210"/>
      <c r="C35" s="210"/>
      <c r="D35" s="210"/>
      <c r="E35" s="210"/>
      <c r="F35" s="210"/>
      <c r="G35" s="210"/>
      <c r="H35" s="210"/>
      <c r="I35" s="210"/>
      <c r="J35" s="210"/>
      <c r="K35" s="215" t="str">
        <f>B17&amp;I12</f>
        <v>SelectSelect One</v>
      </c>
      <c r="L35" s="217"/>
      <c r="M35" s="317"/>
      <c r="N35" s="216"/>
      <c r="O35" s="210"/>
    </row>
    <row r="36" spans="1:19" ht="18" customHeight="1" thickBot="1" x14ac:dyDescent="0.25">
      <c r="A36" s="490"/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</row>
    <row r="37" spans="1:19" ht="13.5" customHeight="1" x14ac:dyDescent="0.2">
      <c r="A37" s="414" t="s">
        <v>90</v>
      </c>
      <c r="B37" s="494" t="s">
        <v>91</v>
      </c>
      <c r="C37" s="495"/>
      <c r="D37" s="495"/>
      <c r="E37" s="495"/>
      <c r="F37" s="495"/>
      <c r="G37" s="495"/>
      <c r="H37" s="495"/>
      <c r="I37" s="495"/>
      <c r="J37" s="495"/>
      <c r="K37" s="496" t="s">
        <v>92</v>
      </c>
      <c r="L37" s="497"/>
      <c r="M37" s="324">
        <f>SUM(M39:M65)</f>
        <v>0</v>
      </c>
      <c r="N37" s="324">
        <f>SUM(N39:N65)</f>
        <v>0</v>
      </c>
      <c r="O37" s="325">
        <f>SUM(O39:O65)</f>
        <v>0</v>
      </c>
    </row>
    <row r="38" spans="1:19" ht="45" customHeight="1" x14ac:dyDescent="0.2">
      <c r="A38" s="415"/>
      <c r="B38" s="491" t="s">
        <v>93</v>
      </c>
      <c r="C38" s="491"/>
      <c r="D38" s="34" t="s">
        <v>94</v>
      </c>
      <c r="E38" s="34" t="s">
        <v>95</v>
      </c>
      <c r="F38" s="140" t="s">
        <v>96</v>
      </c>
      <c r="G38" s="492" t="s">
        <v>97</v>
      </c>
      <c r="H38" s="493"/>
      <c r="I38" s="34" t="s">
        <v>98</v>
      </c>
      <c r="J38" s="34" t="s">
        <v>99</v>
      </c>
      <c r="K38" s="95" t="s">
        <v>100</v>
      </c>
      <c r="L38" s="34" t="s">
        <v>101</v>
      </c>
      <c r="M38" s="34" t="s">
        <v>102</v>
      </c>
      <c r="N38" s="34" t="s">
        <v>103</v>
      </c>
      <c r="O38" s="141" t="s">
        <v>104</v>
      </c>
      <c r="P38" s="142"/>
      <c r="S38" s="5"/>
    </row>
    <row r="39" spans="1:19" ht="13.5" customHeight="1" x14ac:dyDescent="0.2">
      <c r="A39" s="415"/>
      <c r="B39" s="487"/>
      <c r="C39" s="487"/>
      <c r="D39" s="4"/>
      <c r="E39" s="143" t="s">
        <v>86</v>
      </c>
      <c r="F39" s="144" t="s">
        <v>88</v>
      </c>
      <c r="G39" s="481"/>
      <c r="H39" s="482"/>
      <c r="I39" s="6"/>
      <c r="J39" s="27"/>
      <c r="K39" s="209">
        <f>IF(E39="Hourly",I39*J39/173.33,I39*J39/100)</f>
        <v>0</v>
      </c>
      <c r="L39" s="7" t="str">
        <f>IF(M39&lt;&gt;0,SUM(N39/M39),"-")</f>
        <v>-</v>
      </c>
      <c r="M39" s="19">
        <f t="shared" ref="M39:M65" si="2">ROUND((G39*I39*J39*VLOOKUP(E39,$B$12:$C$17,2,FALSE)),0)</f>
        <v>0</v>
      </c>
      <c r="N39" s="19">
        <f t="shared" ref="N39:N65" si="3">ROUND(M39*VLOOKUP(E39&amp;F39,$K$12:$N$35,3,FALSE)+VLOOKUP(E39&amp;F39,$K$12:$N$35,2,FALSE)*MIN(J39,VLOOKUP(E39&amp;F39,$K$12:$N$35,4,FALSE))*I39/100,0)</f>
        <v>0</v>
      </c>
      <c r="O39" s="20">
        <f t="shared" ref="O39:O65" si="4">M39+N39</f>
        <v>0</v>
      </c>
      <c r="P39" s="145"/>
      <c r="Q39" s="14" t="s">
        <v>105</v>
      </c>
      <c r="S39" s="133"/>
    </row>
    <row r="40" spans="1:19" ht="13.5" customHeight="1" x14ac:dyDescent="0.2">
      <c r="A40" s="415"/>
      <c r="B40" s="487"/>
      <c r="C40" s="487"/>
      <c r="D40" s="4"/>
      <c r="E40" s="143" t="s">
        <v>86</v>
      </c>
      <c r="F40" s="144" t="s">
        <v>88</v>
      </c>
      <c r="G40" s="391"/>
      <c r="H40" s="392"/>
      <c r="I40" s="6"/>
      <c r="J40" s="27"/>
      <c r="K40" s="209">
        <f t="shared" ref="K40:K65" si="5">IF(E40="Hourly",I40*J40/173.33,I40*J40/100)</f>
        <v>0</v>
      </c>
      <c r="L40" s="7" t="str">
        <f>IF(M40&lt;&gt;0,SUM(N40/M40),"-")</f>
        <v>-</v>
      </c>
      <c r="M40" s="19">
        <f t="shared" si="2"/>
        <v>0</v>
      </c>
      <c r="N40" s="19">
        <f t="shared" si="3"/>
        <v>0</v>
      </c>
      <c r="O40" s="8">
        <f t="shared" si="4"/>
        <v>0</v>
      </c>
      <c r="P40" s="30"/>
      <c r="Q40" s="14" t="s">
        <v>106</v>
      </c>
      <c r="S40" s="133"/>
    </row>
    <row r="41" spans="1:19" ht="13.5" customHeight="1" x14ac:dyDescent="0.2">
      <c r="A41" s="415"/>
      <c r="B41" s="487"/>
      <c r="C41" s="487"/>
      <c r="D41" s="4"/>
      <c r="E41" s="143" t="s">
        <v>86</v>
      </c>
      <c r="F41" s="144" t="s">
        <v>88</v>
      </c>
      <c r="G41" s="391"/>
      <c r="H41" s="392"/>
      <c r="I41" s="6"/>
      <c r="J41" s="27"/>
      <c r="K41" s="209">
        <f t="shared" si="5"/>
        <v>0</v>
      </c>
      <c r="L41" s="7" t="str">
        <f t="shared" ref="L41:L65" si="6">IF(M41&lt;&gt;0,SUM(N41/M41),"-")</f>
        <v>-</v>
      </c>
      <c r="M41" s="19">
        <f t="shared" si="2"/>
        <v>0</v>
      </c>
      <c r="N41" s="19">
        <f t="shared" si="3"/>
        <v>0</v>
      </c>
      <c r="O41" s="8">
        <f t="shared" si="4"/>
        <v>0</v>
      </c>
      <c r="P41" s="30"/>
      <c r="Q41" s="14" t="s">
        <v>107</v>
      </c>
      <c r="S41" s="133"/>
    </row>
    <row r="42" spans="1:19" ht="13.5" customHeight="1" x14ac:dyDescent="0.2">
      <c r="A42" s="415"/>
      <c r="B42" s="487"/>
      <c r="C42" s="487"/>
      <c r="D42" s="4"/>
      <c r="E42" s="143" t="s">
        <v>86</v>
      </c>
      <c r="F42" s="144" t="s">
        <v>88</v>
      </c>
      <c r="G42" s="391"/>
      <c r="H42" s="392"/>
      <c r="I42" s="6"/>
      <c r="J42" s="27"/>
      <c r="K42" s="209">
        <f t="shared" si="5"/>
        <v>0</v>
      </c>
      <c r="L42" s="7" t="str">
        <f>IF(M42&lt;&gt;0,SUM(N42/M42),"-")</f>
        <v>-</v>
      </c>
      <c r="M42" s="19">
        <f t="shared" si="2"/>
        <v>0</v>
      </c>
      <c r="N42" s="19">
        <f t="shared" si="3"/>
        <v>0</v>
      </c>
      <c r="O42" s="8">
        <f t="shared" si="4"/>
        <v>0</v>
      </c>
      <c r="P42" s="30"/>
      <c r="Q42" s="14" t="s">
        <v>108</v>
      </c>
      <c r="S42" s="133"/>
    </row>
    <row r="43" spans="1:19" ht="13.5" customHeight="1" x14ac:dyDescent="0.2">
      <c r="A43" s="415"/>
      <c r="B43" s="487"/>
      <c r="C43" s="487"/>
      <c r="D43" s="4"/>
      <c r="E43" s="143" t="s">
        <v>86</v>
      </c>
      <c r="F43" s="144" t="s">
        <v>88</v>
      </c>
      <c r="G43" s="391"/>
      <c r="H43" s="392"/>
      <c r="I43" s="6"/>
      <c r="J43" s="27"/>
      <c r="K43" s="209">
        <f t="shared" si="5"/>
        <v>0</v>
      </c>
      <c r="L43" s="7" t="str">
        <f t="shared" si="6"/>
        <v>-</v>
      </c>
      <c r="M43" s="19">
        <f t="shared" si="2"/>
        <v>0</v>
      </c>
      <c r="N43" s="19">
        <f>ROUND(M43*VLOOKUP(E43&amp;F43,$K$12:$N$35,3,FALSE)+VLOOKUP(E43&amp;F43,$K$12:$N$35,2,FALSE)*MIN(J43,VLOOKUP(E43&amp;F43,$K$12:$N$35,4,FALSE))*I43/100,0)</f>
        <v>0</v>
      </c>
      <c r="O43" s="8">
        <f t="shared" si="4"/>
        <v>0</v>
      </c>
      <c r="P43" s="30"/>
      <c r="Q43" s="14" t="s">
        <v>109</v>
      </c>
      <c r="S43" s="133"/>
    </row>
    <row r="44" spans="1:19" ht="13.5" customHeight="1" x14ac:dyDescent="0.2">
      <c r="A44" s="415"/>
      <c r="B44" s="380"/>
      <c r="C44" s="381"/>
      <c r="D44" s="4"/>
      <c r="E44" s="143" t="s">
        <v>86</v>
      </c>
      <c r="F44" s="144" t="s">
        <v>88</v>
      </c>
      <c r="G44" s="391"/>
      <c r="H44" s="392"/>
      <c r="I44" s="6"/>
      <c r="J44" s="27"/>
      <c r="K44" s="209">
        <f t="shared" si="5"/>
        <v>0</v>
      </c>
      <c r="L44" s="7" t="str">
        <f t="shared" si="6"/>
        <v>-</v>
      </c>
      <c r="M44" s="19">
        <f t="shared" si="2"/>
        <v>0</v>
      </c>
      <c r="N44" s="19">
        <f t="shared" si="3"/>
        <v>0</v>
      </c>
      <c r="O44" s="8">
        <f t="shared" si="4"/>
        <v>0</v>
      </c>
      <c r="P44" s="30"/>
      <c r="Q44" s="14" t="s">
        <v>110</v>
      </c>
      <c r="S44" s="146"/>
    </row>
    <row r="45" spans="1:19" ht="13.5" customHeight="1" x14ac:dyDescent="0.2">
      <c r="A45" s="415"/>
      <c r="B45" s="380"/>
      <c r="C45" s="381"/>
      <c r="D45" s="4"/>
      <c r="E45" s="143" t="s">
        <v>86</v>
      </c>
      <c r="F45" s="144" t="s">
        <v>88</v>
      </c>
      <c r="G45" s="391"/>
      <c r="H45" s="392"/>
      <c r="I45" s="6"/>
      <c r="J45" s="27"/>
      <c r="K45" s="209">
        <f t="shared" si="5"/>
        <v>0</v>
      </c>
      <c r="L45" s="7" t="str">
        <f t="shared" si="6"/>
        <v>-</v>
      </c>
      <c r="M45" s="19">
        <f t="shared" si="2"/>
        <v>0</v>
      </c>
      <c r="N45" s="19">
        <f t="shared" si="3"/>
        <v>0</v>
      </c>
      <c r="O45" s="8">
        <f t="shared" si="4"/>
        <v>0</v>
      </c>
      <c r="P45" s="30"/>
      <c r="Q45" s="14"/>
      <c r="S45" s="146"/>
    </row>
    <row r="46" spans="1:19" ht="13.5" customHeight="1" x14ac:dyDescent="0.2">
      <c r="A46" s="415"/>
      <c r="B46" s="380"/>
      <c r="C46" s="381"/>
      <c r="D46" s="4"/>
      <c r="E46" s="143" t="s">
        <v>86</v>
      </c>
      <c r="F46" s="144" t="s">
        <v>88</v>
      </c>
      <c r="G46" s="391"/>
      <c r="H46" s="392"/>
      <c r="I46" s="6"/>
      <c r="J46" s="27"/>
      <c r="K46" s="209">
        <f t="shared" si="5"/>
        <v>0</v>
      </c>
      <c r="L46" s="7" t="str">
        <f t="shared" si="6"/>
        <v>-</v>
      </c>
      <c r="M46" s="19">
        <f t="shared" si="2"/>
        <v>0</v>
      </c>
      <c r="N46" s="19">
        <f t="shared" si="3"/>
        <v>0</v>
      </c>
      <c r="O46" s="8">
        <f t="shared" si="4"/>
        <v>0</v>
      </c>
      <c r="P46" s="30"/>
      <c r="Q46" s="14"/>
      <c r="S46" s="146"/>
    </row>
    <row r="47" spans="1:19" ht="13.5" customHeight="1" x14ac:dyDescent="0.2">
      <c r="A47" s="415"/>
      <c r="B47" s="380"/>
      <c r="C47" s="381"/>
      <c r="D47" s="4"/>
      <c r="E47" s="143" t="s">
        <v>86</v>
      </c>
      <c r="F47" s="144" t="s">
        <v>88</v>
      </c>
      <c r="G47" s="391"/>
      <c r="H47" s="392"/>
      <c r="I47" s="6"/>
      <c r="J47" s="27"/>
      <c r="K47" s="209">
        <f t="shared" si="5"/>
        <v>0</v>
      </c>
      <c r="L47" s="7" t="str">
        <f t="shared" si="6"/>
        <v>-</v>
      </c>
      <c r="M47" s="19">
        <f t="shared" si="2"/>
        <v>0</v>
      </c>
      <c r="N47" s="19">
        <f t="shared" si="3"/>
        <v>0</v>
      </c>
      <c r="O47" s="8">
        <f t="shared" si="4"/>
        <v>0</v>
      </c>
      <c r="P47" s="30"/>
      <c r="Q47" s="14"/>
      <c r="S47" s="146"/>
    </row>
    <row r="48" spans="1:19" ht="13.5" customHeight="1" thickBot="1" x14ac:dyDescent="0.25">
      <c r="A48" s="415"/>
      <c r="B48" s="380"/>
      <c r="C48" s="381"/>
      <c r="D48" s="4"/>
      <c r="E48" s="143" t="s">
        <v>86</v>
      </c>
      <c r="F48" s="144" t="s">
        <v>88</v>
      </c>
      <c r="G48" s="391"/>
      <c r="H48" s="392"/>
      <c r="I48" s="6"/>
      <c r="J48" s="27"/>
      <c r="K48" s="209">
        <f t="shared" si="5"/>
        <v>0</v>
      </c>
      <c r="L48" s="7" t="str">
        <f t="shared" si="6"/>
        <v>-</v>
      </c>
      <c r="M48" s="19">
        <f t="shared" si="2"/>
        <v>0</v>
      </c>
      <c r="N48" s="19">
        <f t="shared" si="3"/>
        <v>0</v>
      </c>
      <c r="O48" s="8">
        <f t="shared" si="4"/>
        <v>0</v>
      </c>
      <c r="P48" s="30"/>
      <c r="Q48" s="14"/>
      <c r="S48" s="146"/>
    </row>
    <row r="49" spans="1:19" ht="13.5" hidden="1" customHeight="1" x14ac:dyDescent="0.2">
      <c r="A49" s="415"/>
      <c r="B49" s="380"/>
      <c r="C49" s="381"/>
      <c r="D49" s="4"/>
      <c r="E49" s="143" t="s">
        <v>86</v>
      </c>
      <c r="F49" s="144" t="s">
        <v>88</v>
      </c>
      <c r="G49" s="391"/>
      <c r="H49" s="392"/>
      <c r="I49" s="6"/>
      <c r="J49" s="27"/>
      <c r="K49" s="209">
        <f t="shared" si="5"/>
        <v>0</v>
      </c>
      <c r="L49" s="7" t="str">
        <f t="shared" si="6"/>
        <v>-</v>
      </c>
      <c r="M49" s="19">
        <f t="shared" si="2"/>
        <v>0</v>
      </c>
      <c r="N49" s="19">
        <f t="shared" si="3"/>
        <v>0</v>
      </c>
      <c r="O49" s="8">
        <f t="shared" si="4"/>
        <v>0</v>
      </c>
      <c r="P49" s="30"/>
      <c r="Q49" s="224" t="s">
        <v>111</v>
      </c>
      <c r="S49" s="146"/>
    </row>
    <row r="50" spans="1:19" ht="13.5" hidden="1" customHeight="1" x14ac:dyDescent="0.2">
      <c r="A50" s="415"/>
      <c r="B50" s="380"/>
      <c r="C50" s="381"/>
      <c r="D50" s="4"/>
      <c r="E50" s="143" t="s">
        <v>86</v>
      </c>
      <c r="F50" s="144" t="s">
        <v>88</v>
      </c>
      <c r="G50" s="391"/>
      <c r="H50" s="392"/>
      <c r="I50" s="6"/>
      <c r="J50" s="27"/>
      <c r="K50" s="209">
        <f t="shared" si="5"/>
        <v>0</v>
      </c>
      <c r="L50" s="7" t="str">
        <f t="shared" si="6"/>
        <v>-</v>
      </c>
      <c r="M50" s="19">
        <f t="shared" si="2"/>
        <v>0</v>
      </c>
      <c r="N50" s="19">
        <f t="shared" si="3"/>
        <v>0</v>
      </c>
      <c r="O50" s="8">
        <f t="shared" si="4"/>
        <v>0</v>
      </c>
      <c r="P50" s="30"/>
      <c r="Q50" s="14"/>
      <c r="S50" s="146"/>
    </row>
    <row r="51" spans="1:19" ht="13.5" hidden="1" customHeight="1" x14ac:dyDescent="0.2">
      <c r="A51" s="415"/>
      <c r="B51" s="380"/>
      <c r="C51" s="381"/>
      <c r="D51" s="4"/>
      <c r="E51" s="143" t="s">
        <v>86</v>
      </c>
      <c r="F51" s="144" t="s">
        <v>88</v>
      </c>
      <c r="G51" s="391"/>
      <c r="H51" s="392"/>
      <c r="I51" s="6"/>
      <c r="J51" s="27"/>
      <c r="K51" s="209">
        <f t="shared" si="5"/>
        <v>0</v>
      </c>
      <c r="L51" s="7" t="str">
        <f t="shared" si="6"/>
        <v>-</v>
      </c>
      <c r="M51" s="19">
        <f t="shared" si="2"/>
        <v>0</v>
      </c>
      <c r="N51" s="19">
        <f t="shared" si="3"/>
        <v>0</v>
      </c>
      <c r="O51" s="8">
        <f t="shared" si="4"/>
        <v>0</v>
      </c>
      <c r="P51" s="30"/>
      <c r="Q51" s="14"/>
      <c r="S51" s="146"/>
    </row>
    <row r="52" spans="1:19" ht="13.5" hidden="1" customHeight="1" x14ac:dyDescent="0.2">
      <c r="A52" s="415"/>
      <c r="B52" s="380"/>
      <c r="C52" s="381"/>
      <c r="D52" s="4"/>
      <c r="E52" s="143" t="s">
        <v>86</v>
      </c>
      <c r="F52" s="144" t="s">
        <v>88</v>
      </c>
      <c r="G52" s="391"/>
      <c r="H52" s="392"/>
      <c r="I52" s="6"/>
      <c r="J52" s="27"/>
      <c r="K52" s="209">
        <f t="shared" si="5"/>
        <v>0</v>
      </c>
      <c r="L52" s="7" t="str">
        <f t="shared" si="6"/>
        <v>-</v>
      </c>
      <c r="M52" s="19">
        <f t="shared" si="2"/>
        <v>0</v>
      </c>
      <c r="N52" s="19">
        <f t="shared" si="3"/>
        <v>0</v>
      </c>
      <c r="O52" s="8">
        <f t="shared" si="4"/>
        <v>0</v>
      </c>
      <c r="P52" s="30"/>
      <c r="Q52" s="14"/>
      <c r="S52" s="146"/>
    </row>
    <row r="53" spans="1:19" ht="13.5" hidden="1" customHeight="1" x14ac:dyDescent="0.2">
      <c r="A53" s="415"/>
      <c r="B53" s="380"/>
      <c r="C53" s="381"/>
      <c r="D53" s="4"/>
      <c r="E53" s="143" t="s">
        <v>86</v>
      </c>
      <c r="F53" s="144" t="s">
        <v>88</v>
      </c>
      <c r="G53" s="391"/>
      <c r="H53" s="392"/>
      <c r="I53" s="6"/>
      <c r="J53" s="27"/>
      <c r="K53" s="209">
        <f t="shared" si="5"/>
        <v>0</v>
      </c>
      <c r="L53" s="7" t="str">
        <f t="shared" si="6"/>
        <v>-</v>
      </c>
      <c r="M53" s="19">
        <f t="shared" si="2"/>
        <v>0</v>
      </c>
      <c r="N53" s="19">
        <f t="shared" si="3"/>
        <v>0</v>
      </c>
      <c r="O53" s="8">
        <f t="shared" si="4"/>
        <v>0</v>
      </c>
      <c r="P53" s="30"/>
      <c r="Q53" s="14"/>
      <c r="S53" s="146"/>
    </row>
    <row r="54" spans="1:19" ht="13.5" hidden="1" customHeight="1" x14ac:dyDescent="0.2">
      <c r="A54" s="415"/>
      <c r="B54" s="380"/>
      <c r="C54" s="381"/>
      <c r="D54" s="4"/>
      <c r="E54" s="143" t="s">
        <v>86</v>
      </c>
      <c r="F54" s="144" t="s">
        <v>88</v>
      </c>
      <c r="G54" s="391"/>
      <c r="H54" s="392"/>
      <c r="I54" s="6"/>
      <c r="J54" s="27"/>
      <c r="K54" s="209">
        <f t="shared" si="5"/>
        <v>0</v>
      </c>
      <c r="L54" s="7" t="str">
        <f t="shared" si="6"/>
        <v>-</v>
      </c>
      <c r="M54" s="19">
        <f t="shared" si="2"/>
        <v>0</v>
      </c>
      <c r="N54" s="19">
        <f t="shared" si="3"/>
        <v>0</v>
      </c>
      <c r="O54" s="8">
        <f t="shared" si="4"/>
        <v>0</v>
      </c>
      <c r="P54" s="30"/>
      <c r="Q54" s="14"/>
      <c r="S54" s="146"/>
    </row>
    <row r="55" spans="1:19" ht="13.5" hidden="1" customHeight="1" x14ac:dyDescent="0.2">
      <c r="A55" s="415"/>
      <c r="B55" s="380"/>
      <c r="C55" s="381"/>
      <c r="D55" s="4"/>
      <c r="E55" s="143" t="s">
        <v>86</v>
      </c>
      <c r="F55" s="144" t="s">
        <v>88</v>
      </c>
      <c r="G55" s="391"/>
      <c r="H55" s="392"/>
      <c r="I55" s="6"/>
      <c r="J55" s="27"/>
      <c r="K55" s="209">
        <f t="shared" si="5"/>
        <v>0</v>
      </c>
      <c r="L55" s="7" t="str">
        <f t="shared" si="6"/>
        <v>-</v>
      </c>
      <c r="M55" s="19">
        <f t="shared" si="2"/>
        <v>0</v>
      </c>
      <c r="N55" s="19">
        <f t="shared" si="3"/>
        <v>0</v>
      </c>
      <c r="O55" s="8">
        <f t="shared" si="4"/>
        <v>0</v>
      </c>
      <c r="P55" s="30"/>
      <c r="Q55" s="14"/>
      <c r="S55" s="146"/>
    </row>
    <row r="56" spans="1:19" ht="13.5" hidden="1" customHeight="1" x14ac:dyDescent="0.2">
      <c r="A56" s="415"/>
      <c r="B56" s="380"/>
      <c r="C56" s="381"/>
      <c r="D56" s="4"/>
      <c r="E56" s="143" t="s">
        <v>86</v>
      </c>
      <c r="F56" s="144" t="s">
        <v>88</v>
      </c>
      <c r="G56" s="391"/>
      <c r="H56" s="392"/>
      <c r="I56" s="6"/>
      <c r="J56" s="27"/>
      <c r="K56" s="209">
        <f t="shared" si="5"/>
        <v>0</v>
      </c>
      <c r="L56" s="7" t="str">
        <f t="shared" si="6"/>
        <v>-</v>
      </c>
      <c r="M56" s="19">
        <f t="shared" si="2"/>
        <v>0</v>
      </c>
      <c r="N56" s="19">
        <f t="shared" si="3"/>
        <v>0</v>
      </c>
      <c r="O56" s="8">
        <f t="shared" si="4"/>
        <v>0</v>
      </c>
      <c r="P56" s="30"/>
      <c r="Q56" s="14"/>
      <c r="S56" s="146"/>
    </row>
    <row r="57" spans="1:19" ht="13.5" hidden="1" customHeight="1" x14ac:dyDescent="0.2">
      <c r="A57" s="415"/>
      <c r="B57" s="380"/>
      <c r="C57" s="381"/>
      <c r="D57" s="4"/>
      <c r="E57" s="143" t="s">
        <v>86</v>
      </c>
      <c r="F57" s="144" t="s">
        <v>88</v>
      </c>
      <c r="G57" s="391"/>
      <c r="H57" s="392"/>
      <c r="I57" s="6"/>
      <c r="J57" s="27"/>
      <c r="K57" s="209">
        <f t="shared" si="5"/>
        <v>0</v>
      </c>
      <c r="L57" s="7" t="str">
        <f t="shared" si="6"/>
        <v>-</v>
      </c>
      <c r="M57" s="19">
        <f t="shared" si="2"/>
        <v>0</v>
      </c>
      <c r="N57" s="19">
        <f t="shared" si="3"/>
        <v>0</v>
      </c>
      <c r="O57" s="8">
        <f t="shared" si="4"/>
        <v>0</v>
      </c>
      <c r="P57" s="30"/>
      <c r="Q57" s="14"/>
      <c r="S57" s="146"/>
    </row>
    <row r="58" spans="1:19" ht="13.5" hidden="1" customHeight="1" x14ac:dyDescent="0.2">
      <c r="A58" s="415"/>
      <c r="B58" s="380"/>
      <c r="C58" s="381"/>
      <c r="D58" s="4"/>
      <c r="E58" s="143" t="s">
        <v>86</v>
      </c>
      <c r="F58" s="144" t="s">
        <v>88</v>
      </c>
      <c r="G58" s="391"/>
      <c r="H58" s="392"/>
      <c r="I58" s="6"/>
      <c r="J58" s="27"/>
      <c r="K58" s="209">
        <f t="shared" si="5"/>
        <v>0</v>
      </c>
      <c r="L58" s="7" t="str">
        <f t="shared" si="6"/>
        <v>-</v>
      </c>
      <c r="M58" s="19">
        <f t="shared" si="2"/>
        <v>0</v>
      </c>
      <c r="N58" s="19">
        <f t="shared" si="3"/>
        <v>0</v>
      </c>
      <c r="O58" s="8">
        <f t="shared" si="4"/>
        <v>0</v>
      </c>
      <c r="P58" s="30"/>
      <c r="Q58" s="14"/>
      <c r="S58" s="146"/>
    </row>
    <row r="59" spans="1:19" ht="13.5" hidden="1" customHeight="1" x14ac:dyDescent="0.2">
      <c r="A59" s="415"/>
      <c r="B59" s="380"/>
      <c r="C59" s="381"/>
      <c r="D59" s="4"/>
      <c r="E59" s="143" t="s">
        <v>86</v>
      </c>
      <c r="F59" s="144" t="s">
        <v>88</v>
      </c>
      <c r="G59" s="391"/>
      <c r="H59" s="392"/>
      <c r="I59" s="6"/>
      <c r="J59" s="27"/>
      <c r="K59" s="209">
        <f t="shared" si="5"/>
        <v>0</v>
      </c>
      <c r="L59" s="7" t="str">
        <f t="shared" si="6"/>
        <v>-</v>
      </c>
      <c r="M59" s="19">
        <f t="shared" si="2"/>
        <v>0</v>
      </c>
      <c r="N59" s="19">
        <f t="shared" si="3"/>
        <v>0</v>
      </c>
      <c r="O59" s="8">
        <f t="shared" si="4"/>
        <v>0</v>
      </c>
      <c r="P59" s="30"/>
      <c r="Q59" s="14"/>
      <c r="S59" s="146"/>
    </row>
    <row r="60" spans="1:19" ht="13.5" hidden="1" customHeight="1" x14ac:dyDescent="0.2">
      <c r="A60" s="415"/>
      <c r="B60" s="380"/>
      <c r="C60" s="381"/>
      <c r="D60" s="4"/>
      <c r="E60" s="143" t="s">
        <v>86</v>
      </c>
      <c r="F60" s="144" t="s">
        <v>88</v>
      </c>
      <c r="G60" s="391"/>
      <c r="H60" s="392"/>
      <c r="I60" s="6"/>
      <c r="J60" s="27"/>
      <c r="K60" s="209">
        <f t="shared" si="5"/>
        <v>0</v>
      </c>
      <c r="L60" s="7" t="str">
        <f t="shared" si="6"/>
        <v>-</v>
      </c>
      <c r="M60" s="19">
        <f t="shared" si="2"/>
        <v>0</v>
      </c>
      <c r="N60" s="19">
        <f t="shared" si="3"/>
        <v>0</v>
      </c>
      <c r="O60" s="8">
        <f t="shared" si="4"/>
        <v>0</v>
      </c>
      <c r="P60" s="30"/>
      <c r="Q60" s="14"/>
      <c r="S60" s="146"/>
    </row>
    <row r="61" spans="1:19" ht="13.5" hidden="1" customHeight="1" x14ac:dyDescent="0.2">
      <c r="A61" s="415"/>
      <c r="B61" s="380"/>
      <c r="C61" s="381"/>
      <c r="D61" s="4"/>
      <c r="E61" s="143" t="s">
        <v>86</v>
      </c>
      <c r="F61" s="144" t="s">
        <v>88</v>
      </c>
      <c r="G61" s="391"/>
      <c r="H61" s="392"/>
      <c r="I61" s="6"/>
      <c r="J61" s="27"/>
      <c r="K61" s="209">
        <f t="shared" si="5"/>
        <v>0</v>
      </c>
      <c r="L61" s="7" t="str">
        <f t="shared" si="6"/>
        <v>-</v>
      </c>
      <c r="M61" s="19">
        <f t="shared" si="2"/>
        <v>0</v>
      </c>
      <c r="N61" s="19">
        <f t="shared" si="3"/>
        <v>0</v>
      </c>
      <c r="O61" s="8">
        <f t="shared" si="4"/>
        <v>0</v>
      </c>
      <c r="P61" s="30"/>
      <c r="Q61" s="14"/>
      <c r="S61" s="146"/>
    </row>
    <row r="62" spans="1:19" ht="13.5" hidden="1" customHeight="1" x14ac:dyDescent="0.2">
      <c r="A62" s="415"/>
      <c r="B62" s="380"/>
      <c r="C62" s="381"/>
      <c r="D62" s="4"/>
      <c r="E62" s="143" t="s">
        <v>86</v>
      </c>
      <c r="F62" s="144" t="s">
        <v>88</v>
      </c>
      <c r="G62" s="391"/>
      <c r="H62" s="392"/>
      <c r="I62" s="6"/>
      <c r="J62" s="27"/>
      <c r="K62" s="209">
        <f t="shared" si="5"/>
        <v>0</v>
      </c>
      <c r="L62" s="7" t="str">
        <f t="shared" si="6"/>
        <v>-</v>
      </c>
      <c r="M62" s="19">
        <f t="shared" si="2"/>
        <v>0</v>
      </c>
      <c r="N62" s="19">
        <f t="shared" si="3"/>
        <v>0</v>
      </c>
      <c r="O62" s="8">
        <f t="shared" si="4"/>
        <v>0</v>
      </c>
      <c r="P62" s="30"/>
      <c r="Q62" s="14"/>
      <c r="S62" s="146"/>
    </row>
    <row r="63" spans="1:19" ht="13.5" hidden="1" customHeight="1" x14ac:dyDescent="0.2">
      <c r="A63" s="415"/>
      <c r="B63" s="380"/>
      <c r="C63" s="381"/>
      <c r="D63" s="4"/>
      <c r="E63" s="143" t="s">
        <v>86</v>
      </c>
      <c r="F63" s="144" t="s">
        <v>88</v>
      </c>
      <c r="G63" s="391"/>
      <c r="H63" s="392"/>
      <c r="I63" s="6"/>
      <c r="J63" s="27"/>
      <c r="K63" s="209">
        <f t="shared" si="5"/>
        <v>0</v>
      </c>
      <c r="L63" s="7" t="str">
        <f t="shared" si="6"/>
        <v>-</v>
      </c>
      <c r="M63" s="19">
        <f t="shared" si="2"/>
        <v>0</v>
      </c>
      <c r="N63" s="19">
        <f t="shared" si="3"/>
        <v>0</v>
      </c>
      <c r="O63" s="8">
        <f t="shared" si="4"/>
        <v>0</v>
      </c>
      <c r="P63" s="30"/>
      <c r="Q63" s="14"/>
      <c r="S63" s="146"/>
    </row>
    <row r="64" spans="1:19" ht="13.5" hidden="1" customHeight="1" x14ac:dyDescent="0.2">
      <c r="A64" s="415"/>
      <c r="B64" s="380"/>
      <c r="C64" s="381"/>
      <c r="D64" s="4"/>
      <c r="E64" s="143" t="s">
        <v>86</v>
      </c>
      <c r="F64" s="144" t="s">
        <v>88</v>
      </c>
      <c r="G64" s="391"/>
      <c r="H64" s="392"/>
      <c r="I64" s="6"/>
      <c r="J64" s="27"/>
      <c r="K64" s="209">
        <f t="shared" si="5"/>
        <v>0</v>
      </c>
      <c r="L64" s="7" t="str">
        <f t="shared" si="6"/>
        <v>-</v>
      </c>
      <c r="M64" s="19">
        <f t="shared" si="2"/>
        <v>0</v>
      </c>
      <c r="N64" s="19">
        <f t="shared" si="3"/>
        <v>0</v>
      </c>
      <c r="O64" s="8">
        <f t="shared" si="4"/>
        <v>0</v>
      </c>
      <c r="P64" s="30"/>
      <c r="S64" s="146"/>
    </row>
    <row r="65" spans="1:28" ht="13.5" hidden="1" customHeight="1" thickBot="1" x14ac:dyDescent="0.25">
      <c r="A65" s="415"/>
      <c r="B65" s="380"/>
      <c r="C65" s="381"/>
      <c r="D65" s="4"/>
      <c r="E65" s="143" t="s">
        <v>86</v>
      </c>
      <c r="F65" s="144" t="s">
        <v>88</v>
      </c>
      <c r="G65" s="391"/>
      <c r="H65" s="392"/>
      <c r="I65" s="6"/>
      <c r="J65" s="27"/>
      <c r="K65" s="209">
        <f t="shared" si="5"/>
        <v>0</v>
      </c>
      <c r="L65" s="7" t="str">
        <f t="shared" si="6"/>
        <v>-</v>
      </c>
      <c r="M65" s="19">
        <f t="shared" si="2"/>
        <v>0</v>
      </c>
      <c r="N65" s="19">
        <f t="shared" si="3"/>
        <v>0</v>
      </c>
      <c r="O65" s="8">
        <f t="shared" si="4"/>
        <v>0</v>
      </c>
      <c r="P65" s="30"/>
      <c r="S65" s="146"/>
    </row>
    <row r="66" spans="1:28" ht="13.5" customHeight="1" x14ac:dyDescent="0.2">
      <c r="A66" s="415"/>
      <c r="B66" s="503" t="s">
        <v>112</v>
      </c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121" t="s">
        <v>27</v>
      </c>
      <c r="O66" s="139">
        <f>SUM(O67:O68)</f>
        <v>0</v>
      </c>
      <c r="P66" s="147"/>
    </row>
    <row r="67" spans="1:28" ht="13.5" customHeight="1" x14ac:dyDescent="0.2">
      <c r="A67" s="415"/>
      <c r="B67" s="382" t="s">
        <v>113</v>
      </c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4"/>
      <c r="O67" s="11">
        <v>0</v>
      </c>
      <c r="P67" s="30"/>
    </row>
    <row r="68" spans="1:28" ht="13.5" customHeight="1" thickBot="1" x14ac:dyDescent="0.25">
      <c r="A68" s="415"/>
      <c r="B68" s="500" t="s">
        <v>114</v>
      </c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2"/>
      <c r="O68" s="22">
        <v>0</v>
      </c>
      <c r="P68" s="30"/>
    </row>
    <row r="69" spans="1:28" ht="13.5" customHeight="1" x14ac:dyDescent="0.2">
      <c r="A69" s="513"/>
      <c r="B69" s="503" t="s">
        <v>115</v>
      </c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121" t="s">
        <v>27</v>
      </c>
      <c r="O69" s="139">
        <f>SUM(O70,O77:O81)</f>
        <v>0</v>
      </c>
      <c r="P69" s="147"/>
    </row>
    <row r="70" spans="1:28" ht="13.5" customHeight="1" x14ac:dyDescent="0.2">
      <c r="A70" s="513"/>
      <c r="B70" s="382" t="s">
        <v>116</v>
      </c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4"/>
      <c r="O70" s="328">
        <f>SUM(N71:N76)</f>
        <v>0</v>
      </c>
      <c r="P70" s="147"/>
    </row>
    <row r="71" spans="1:28" ht="13.5" customHeight="1" x14ac:dyDescent="0.2">
      <c r="A71" s="513"/>
      <c r="B71" s="382" t="s">
        <v>117</v>
      </c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4"/>
      <c r="N71" s="257">
        <v>0</v>
      </c>
      <c r="O71" s="322"/>
      <c r="P71" s="30"/>
    </row>
    <row r="72" spans="1:28" ht="13.5" customHeight="1" x14ac:dyDescent="0.25">
      <c r="A72" s="513"/>
      <c r="B72" s="382" t="s">
        <v>118</v>
      </c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4"/>
      <c r="N72" s="257">
        <v>0</v>
      </c>
      <c r="O72" s="322"/>
      <c r="P72" s="30"/>
      <c r="Q72" s="525" t="s">
        <v>119</v>
      </c>
      <c r="R72" s="526"/>
      <c r="S72" s="526"/>
      <c r="T72" s="526"/>
      <c r="U72" s="526"/>
      <c r="V72" s="526"/>
      <c r="W72" s="526"/>
      <c r="X72" s="526"/>
      <c r="Y72" s="526"/>
      <c r="Z72" s="526"/>
      <c r="AA72" s="526"/>
      <c r="AB72" s="527"/>
    </row>
    <row r="73" spans="1:28" ht="13.5" customHeight="1" x14ac:dyDescent="0.2">
      <c r="A73" s="513"/>
      <c r="B73" s="382" t="s">
        <v>120</v>
      </c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4"/>
      <c r="N73" s="257">
        <v>0</v>
      </c>
      <c r="O73" s="322"/>
      <c r="P73" s="30"/>
    </row>
    <row r="74" spans="1:28" ht="13.5" customHeight="1" x14ac:dyDescent="0.2">
      <c r="A74" s="513"/>
      <c r="B74" s="382" t="s">
        <v>121</v>
      </c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4"/>
      <c r="N74" s="257">
        <v>0</v>
      </c>
      <c r="O74" s="322"/>
      <c r="P74" s="30"/>
    </row>
    <row r="75" spans="1:28" ht="13.5" customHeight="1" x14ac:dyDescent="0.2">
      <c r="A75" s="513"/>
      <c r="B75" s="382" t="s">
        <v>122</v>
      </c>
      <c r="C75" s="383"/>
      <c r="D75" s="383"/>
      <c r="E75" s="383"/>
      <c r="F75" s="383"/>
      <c r="G75" s="383"/>
      <c r="H75" s="383"/>
      <c r="I75" s="383"/>
      <c r="J75" s="383"/>
      <c r="K75" s="383"/>
      <c r="L75" s="383"/>
      <c r="M75" s="384"/>
      <c r="N75" s="257">
        <v>0</v>
      </c>
      <c r="O75" s="322"/>
      <c r="P75" s="30"/>
    </row>
    <row r="76" spans="1:28" ht="13.5" customHeight="1" x14ac:dyDescent="0.2">
      <c r="A76" s="513"/>
      <c r="B76" s="523" t="s">
        <v>123</v>
      </c>
      <c r="C76" s="524"/>
      <c r="D76" s="524"/>
      <c r="E76" s="524"/>
      <c r="F76" s="524"/>
      <c r="G76" s="524"/>
      <c r="H76" s="524"/>
      <c r="I76" s="524"/>
      <c r="J76" s="524"/>
      <c r="K76" s="524"/>
      <c r="L76" s="524"/>
      <c r="M76" s="524"/>
      <c r="N76" s="257">
        <v>0</v>
      </c>
      <c r="O76" s="322"/>
      <c r="P76" s="30"/>
    </row>
    <row r="77" spans="1:28" ht="13.5" customHeight="1" x14ac:dyDescent="0.2">
      <c r="A77" s="513"/>
      <c r="B77" s="382" t="s">
        <v>124</v>
      </c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3"/>
      <c r="N77" s="384"/>
      <c r="O77" s="258">
        <v>0</v>
      </c>
      <c r="P77" s="30"/>
    </row>
    <row r="78" spans="1:28" ht="13.5" customHeight="1" x14ac:dyDescent="0.2">
      <c r="A78" s="513"/>
      <c r="B78" s="382" t="s">
        <v>125</v>
      </c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4"/>
      <c r="O78" s="258">
        <v>0</v>
      </c>
      <c r="P78" s="30"/>
    </row>
    <row r="79" spans="1:28" ht="13.5" customHeight="1" x14ac:dyDescent="0.2">
      <c r="A79" s="513"/>
      <c r="B79" s="382" t="s">
        <v>126</v>
      </c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384"/>
      <c r="O79" s="258">
        <v>0</v>
      </c>
      <c r="P79" s="30"/>
      <c r="Q79" s="14" t="s">
        <v>127</v>
      </c>
    </row>
    <row r="80" spans="1:28" ht="13.5" customHeight="1" x14ac:dyDescent="0.2">
      <c r="A80" s="513"/>
      <c r="B80" s="382" t="s">
        <v>128</v>
      </c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4"/>
      <c r="O80" s="258">
        <v>0</v>
      </c>
      <c r="P80" s="30"/>
    </row>
    <row r="81" spans="1:17" ht="13.5" customHeight="1" thickBot="1" x14ac:dyDescent="0.25">
      <c r="A81" s="513"/>
      <c r="B81" s="541" t="s">
        <v>129</v>
      </c>
      <c r="C81" s="542"/>
      <c r="D81" s="542"/>
      <c r="E81" s="542"/>
      <c r="F81" s="542"/>
      <c r="G81" s="542"/>
      <c r="H81" s="542"/>
      <c r="I81" s="542"/>
      <c r="J81" s="542"/>
      <c r="K81" s="542"/>
      <c r="L81" s="542"/>
      <c r="M81" s="542"/>
      <c r="N81" s="543"/>
      <c r="O81" s="16">
        <v>0</v>
      </c>
      <c r="P81" s="30"/>
    </row>
    <row r="82" spans="1:17" ht="18" customHeight="1" thickBot="1" x14ac:dyDescent="0.25">
      <c r="A82" s="540"/>
      <c r="B82" s="540"/>
      <c r="C82" s="540"/>
      <c r="D82" s="540"/>
      <c r="E82" s="540"/>
      <c r="F82" s="540"/>
      <c r="G82" s="540"/>
      <c r="H82" s="540"/>
      <c r="I82" s="540"/>
      <c r="J82" s="540"/>
      <c r="K82" s="540"/>
      <c r="L82" s="540"/>
      <c r="M82" s="540"/>
      <c r="N82" s="540"/>
      <c r="O82" s="540"/>
      <c r="P82" s="31"/>
      <c r="Q82" s="256" t="s">
        <v>130</v>
      </c>
    </row>
    <row r="83" spans="1:17" ht="13.5" customHeight="1" x14ac:dyDescent="0.2">
      <c r="A83" s="414" t="s">
        <v>131</v>
      </c>
      <c r="B83" s="494" t="s">
        <v>132</v>
      </c>
      <c r="C83" s="495"/>
      <c r="D83" s="495"/>
      <c r="E83" s="495"/>
      <c r="F83" s="495"/>
      <c r="G83" s="495"/>
      <c r="H83" s="495"/>
      <c r="I83" s="495"/>
      <c r="J83" s="495"/>
      <c r="K83" s="495"/>
      <c r="L83" s="495"/>
      <c r="M83" s="495"/>
      <c r="N83" s="121" t="s">
        <v>27</v>
      </c>
      <c r="O83" s="139">
        <f>SUM(O84:O86)</f>
        <v>0</v>
      </c>
      <c r="P83" s="147"/>
    </row>
    <row r="84" spans="1:17" ht="13.5" customHeight="1" x14ac:dyDescent="0.2">
      <c r="A84" s="415"/>
      <c r="B84" s="382" t="s">
        <v>133</v>
      </c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4"/>
      <c r="O84" s="15">
        <v>0</v>
      </c>
      <c r="P84" s="30"/>
    </row>
    <row r="85" spans="1:17" ht="13.5" customHeight="1" x14ac:dyDescent="0.2">
      <c r="A85" s="415"/>
      <c r="B85" s="382" t="s">
        <v>134</v>
      </c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4"/>
      <c r="O85" s="9">
        <v>0</v>
      </c>
      <c r="P85" s="30"/>
    </row>
    <row r="86" spans="1:17" ht="13.5" customHeight="1" thickBot="1" x14ac:dyDescent="0.25">
      <c r="A86" s="415"/>
      <c r="B86" s="500" t="s">
        <v>135</v>
      </c>
      <c r="C86" s="501"/>
      <c r="D86" s="501"/>
      <c r="E86" s="501"/>
      <c r="F86" s="501"/>
      <c r="G86" s="501"/>
      <c r="H86" s="501"/>
      <c r="I86" s="501"/>
      <c r="J86" s="501"/>
      <c r="K86" s="501"/>
      <c r="L86" s="501"/>
      <c r="M86" s="501"/>
      <c r="N86" s="502"/>
      <c r="O86" s="10">
        <v>0</v>
      </c>
      <c r="P86" s="30"/>
    </row>
    <row r="87" spans="1:17" ht="13.5" customHeight="1" x14ac:dyDescent="0.2">
      <c r="A87" s="415"/>
      <c r="B87" s="503" t="s">
        <v>136</v>
      </c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121" t="s">
        <v>27</v>
      </c>
      <c r="O87" s="139">
        <f>SUM(O88:O91)</f>
        <v>0</v>
      </c>
      <c r="P87" s="147"/>
    </row>
    <row r="88" spans="1:17" ht="13.5" customHeight="1" x14ac:dyDescent="0.2">
      <c r="A88" s="415"/>
      <c r="B88" s="505" t="s">
        <v>137</v>
      </c>
      <c r="C88" s="506"/>
      <c r="D88" s="506"/>
      <c r="E88" s="506"/>
      <c r="F88" s="506"/>
      <c r="G88" s="506"/>
      <c r="H88" s="506"/>
      <c r="I88" s="506"/>
      <c r="J88" s="506"/>
      <c r="K88" s="506"/>
      <c r="L88" s="506"/>
      <c r="M88" s="506"/>
      <c r="N88" s="507"/>
      <c r="O88" s="11">
        <v>0</v>
      </c>
      <c r="P88" s="30"/>
    </row>
    <row r="89" spans="1:17" ht="13.5" customHeight="1" x14ac:dyDescent="0.2">
      <c r="A89" s="415"/>
      <c r="B89" s="508" t="s">
        <v>138</v>
      </c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10"/>
      <c r="O89" s="13">
        <v>0</v>
      </c>
      <c r="P89" s="30"/>
      <c r="Q89" s="14" t="s">
        <v>139</v>
      </c>
    </row>
    <row r="90" spans="1:17" ht="13.5" customHeight="1" x14ac:dyDescent="0.2">
      <c r="A90" s="415"/>
      <c r="B90" s="382" t="s">
        <v>140</v>
      </c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4"/>
      <c r="O90" s="13">
        <v>0</v>
      </c>
      <c r="P90" s="30"/>
    </row>
    <row r="91" spans="1:17" ht="13.5" customHeight="1" thickBot="1" x14ac:dyDescent="0.25">
      <c r="A91" s="415"/>
      <c r="B91" s="500" t="s">
        <v>141</v>
      </c>
      <c r="C91" s="501"/>
      <c r="D91" s="501"/>
      <c r="E91" s="501"/>
      <c r="F91" s="501"/>
      <c r="G91" s="501"/>
      <c r="H91" s="501"/>
      <c r="I91" s="501"/>
      <c r="J91" s="501"/>
      <c r="K91" s="501"/>
      <c r="L91" s="501"/>
      <c r="M91" s="501"/>
      <c r="N91" s="502"/>
      <c r="O91" s="16">
        <v>0</v>
      </c>
      <c r="P91" s="30"/>
      <c r="Q91" s="14" t="s">
        <v>142</v>
      </c>
    </row>
    <row r="92" spans="1:17" ht="13.5" customHeight="1" x14ac:dyDescent="0.2">
      <c r="A92" s="415"/>
      <c r="B92" s="503" t="s">
        <v>143</v>
      </c>
      <c r="C92" s="504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121" t="s">
        <v>27</v>
      </c>
      <c r="O92" s="148">
        <f>SUM(O93:O97)</f>
        <v>0</v>
      </c>
      <c r="P92" s="147"/>
    </row>
    <row r="93" spans="1:17" ht="13.5" customHeight="1" x14ac:dyDescent="0.2">
      <c r="A93" s="415"/>
      <c r="B93" s="388" t="s">
        <v>144</v>
      </c>
      <c r="C93" s="389"/>
      <c r="D93" s="389"/>
      <c r="E93" s="389"/>
      <c r="F93" s="389"/>
      <c r="G93" s="389"/>
      <c r="H93" s="389"/>
      <c r="I93" s="389"/>
      <c r="J93" s="389"/>
      <c r="K93" s="389"/>
      <c r="L93" s="389"/>
      <c r="M93" s="389"/>
      <c r="N93" s="390"/>
      <c r="O93" s="149">
        <v>0</v>
      </c>
      <c r="P93" s="147"/>
      <c r="Q93" s="14" t="s">
        <v>145</v>
      </c>
    </row>
    <row r="94" spans="1:17" ht="13.5" customHeight="1" x14ac:dyDescent="0.2">
      <c r="A94" s="415"/>
      <c r="B94" s="382" t="s">
        <v>146</v>
      </c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4"/>
      <c r="O94" s="13">
        <v>0</v>
      </c>
      <c r="P94" s="30"/>
    </row>
    <row r="95" spans="1:17" ht="13.5" customHeight="1" x14ac:dyDescent="0.2">
      <c r="A95" s="415"/>
      <c r="B95" s="382" t="s">
        <v>147</v>
      </c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4"/>
      <c r="O95" s="12">
        <v>0</v>
      </c>
      <c r="P95" s="30"/>
    </row>
    <row r="96" spans="1:17" ht="13.5" customHeight="1" x14ac:dyDescent="0.2">
      <c r="A96" s="415"/>
      <c r="B96" s="382" t="s">
        <v>148</v>
      </c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4"/>
      <c r="O96" s="12">
        <v>0</v>
      </c>
      <c r="P96" s="30"/>
    </row>
    <row r="97" spans="1:17" ht="13.5" customHeight="1" thickBot="1" x14ac:dyDescent="0.25">
      <c r="A97" s="415"/>
      <c r="B97" s="500" t="s">
        <v>149</v>
      </c>
      <c r="C97" s="501"/>
      <c r="D97" s="501"/>
      <c r="E97" s="501"/>
      <c r="F97" s="501"/>
      <c r="G97" s="501"/>
      <c r="H97" s="501"/>
      <c r="I97" s="501"/>
      <c r="J97" s="501"/>
      <c r="K97" s="501"/>
      <c r="L97" s="501"/>
      <c r="M97" s="501"/>
      <c r="N97" s="502"/>
      <c r="O97" s="12">
        <v>0</v>
      </c>
      <c r="P97" s="30"/>
    </row>
    <row r="98" spans="1:17" ht="18" customHeight="1" thickBot="1" x14ac:dyDescent="0.25">
      <c r="A98" s="18"/>
      <c r="B98" s="467"/>
      <c r="C98" s="467"/>
      <c r="D98" s="467"/>
      <c r="E98" s="467"/>
      <c r="F98" s="467"/>
      <c r="G98" s="467"/>
      <c r="H98" s="467"/>
      <c r="I98" s="467"/>
      <c r="J98" s="467"/>
      <c r="K98" s="467"/>
      <c r="L98" s="467"/>
      <c r="M98" s="467"/>
      <c r="N98" s="467"/>
      <c r="O98" s="467"/>
      <c r="P98" s="32"/>
    </row>
    <row r="99" spans="1:17" ht="13.5" customHeight="1" x14ac:dyDescent="0.2">
      <c r="A99" s="414" t="s">
        <v>150</v>
      </c>
      <c r="B99" s="468" t="s">
        <v>151</v>
      </c>
      <c r="C99" s="469"/>
      <c r="D99" s="469"/>
      <c r="E99" s="469"/>
      <c r="F99" s="469"/>
      <c r="G99" s="469"/>
      <c r="H99" s="469"/>
      <c r="I99" s="469"/>
      <c r="J99" s="469"/>
      <c r="K99" s="469"/>
      <c r="L99" s="469"/>
      <c r="M99" s="469"/>
      <c r="N99" s="36" t="s">
        <v>152</v>
      </c>
      <c r="O99" s="329">
        <f>J121</f>
        <v>0</v>
      </c>
      <c r="P99" s="30"/>
    </row>
    <row r="100" spans="1:17" ht="43.9" customHeight="1" x14ac:dyDescent="0.2">
      <c r="A100" s="415"/>
      <c r="B100" s="470" t="s">
        <v>153</v>
      </c>
      <c r="C100" s="21" t="s">
        <v>154</v>
      </c>
      <c r="D100" s="21"/>
      <c r="E100" s="21"/>
      <c r="F100" s="473" t="s">
        <v>155</v>
      </c>
      <c r="G100" s="474"/>
      <c r="H100" s="475" t="s">
        <v>156</v>
      </c>
      <c r="I100" s="475"/>
      <c r="J100" s="61" t="s">
        <v>157</v>
      </c>
      <c r="K100" s="242" t="s">
        <v>158</v>
      </c>
      <c r="L100" s="243" t="s">
        <v>159</v>
      </c>
      <c r="M100" s="244" t="s">
        <v>160</v>
      </c>
      <c r="N100" s="367" t="s">
        <v>161</v>
      </c>
      <c r="O100" s="368"/>
    </row>
    <row r="101" spans="1:17" ht="13.5" customHeight="1" x14ac:dyDescent="0.2">
      <c r="A101" s="415"/>
      <c r="B101" s="471"/>
      <c r="C101" s="372"/>
      <c r="D101" s="373"/>
      <c r="E101" s="374"/>
      <c r="F101" s="393">
        <v>0</v>
      </c>
      <c r="G101" s="393"/>
      <c r="H101" s="393">
        <v>0</v>
      </c>
      <c r="I101" s="393"/>
      <c r="J101" s="330">
        <f>F101+H101</f>
        <v>0</v>
      </c>
      <c r="K101" s="245">
        <f>IF(J101&lt;=24999,J101, 25000)</f>
        <v>0</v>
      </c>
      <c r="L101" s="331">
        <f>F101+H101-K101</f>
        <v>0</v>
      </c>
      <c r="M101" s="331">
        <f>ROUND(IF(($L$7-VLOOKUP($G$123,$I$124:$K$142,3,FALSE))&lt;0,$K101,ROUND((1-($L$7-VLOOKUP($G$123,$I$124:$K$142,3,FALSE))/($L$7 +1 - $L$5))*$K101,0))*M$147,0) +ROUND(IF(($L$7-VLOOKUP($G$123,$I$124:$K$142,3,FALSE))&lt;0,0,ROUND(($L$7-VLOOKUP($G$123,$I$124:$K$142,3,FALSE))/($L$7 +1 - $L$5)*$K101,0))*M$148,0)</f>
        <v>0</v>
      </c>
      <c r="N101" s="365">
        <f>K101+L101+M101</f>
        <v>0</v>
      </c>
      <c r="O101" s="366"/>
    </row>
    <row r="102" spans="1:17" ht="13.5" customHeight="1" x14ac:dyDescent="0.2">
      <c r="A102" s="415"/>
      <c r="B102" s="471"/>
      <c r="C102" s="385"/>
      <c r="D102" s="386"/>
      <c r="E102" s="387"/>
      <c r="F102" s="393">
        <v>0</v>
      </c>
      <c r="G102" s="393"/>
      <c r="H102" s="393">
        <v>0</v>
      </c>
      <c r="I102" s="393"/>
      <c r="J102" s="330">
        <f t="shared" ref="J102:J105" si="7">F102+H102</f>
        <v>0</v>
      </c>
      <c r="K102" s="245">
        <f t="shared" ref="K102:K120" si="8">IF(J102&lt;=24999,J102, 25000)</f>
        <v>0</v>
      </c>
      <c r="L102" s="331">
        <f t="shared" ref="L102:L120" si="9">F102+H102-K102</f>
        <v>0</v>
      </c>
      <c r="M102" s="331">
        <f t="shared" ref="M102:M120" si="10">ROUND(IF(($L$7-VLOOKUP($G$123,$I$124:$K$142,3,FALSE))&lt;0,$K102,ROUND((1-($L$7-VLOOKUP($G$123,$I$124:$K$142,3,FALSE))/($L$7 +1 - $L$5))*$K102,0))*M$147,0) +ROUND(IF(($L$7-VLOOKUP($G$123,$I$124:$K$142,3,FALSE))&lt;0,0,ROUND(($L$7-VLOOKUP($G$123,$I$124:$K$142,3,FALSE))/($L$7 +1 - $L$5)*$K102,0))*M$148,0)</f>
        <v>0</v>
      </c>
      <c r="N102" s="365">
        <f t="shared" ref="N102:N105" si="11">K102+L102+M102</f>
        <v>0</v>
      </c>
      <c r="O102" s="366"/>
    </row>
    <row r="103" spans="1:17" ht="13.5" customHeight="1" x14ac:dyDescent="0.2">
      <c r="A103" s="415"/>
      <c r="B103" s="471"/>
      <c r="C103" s="385"/>
      <c r="D103" s="386"/>
      <c r="E103" s="387"/>
      <c r="F103" s="393">
        <v>0</v>
      </c>
      <c r="G103" s="393"/>
      <c r="H103" s="393">
        <v>0</v>
      </c>
      <c r="I103" s="393"/>
      <c r="J103" s="330">
        <f t="shared" si="7"/>
        <v>0</v>
      </c>
      <c r="K103" s="245">
        <f t="shared" si="8"/>
        <v>0</v>
      </c>
      <c r="L103" s="331">
        <f t="shared" si="9"/>
        <v>0</v>
      </c>
      <c r="M103" s="331">
        <f t="shared" si="10"/>
        <v>0</v>
      </c>
      <c r="N103" s="365">
        <f t="shared" si="11"/>
        <v>0</v>
      </c>
      <c r="O103" s="366"/>
    </row>
    <row r="104" spans="1:17" ht="13.5" customHeight="1" x14ac:dyDescent="0.2">
      <c r="A104" s="415"/>
      <c r="B104" s="471"/>
      <c r="C104" s="385"/>
      <c r="D104" s="386"/>
      <c r="E104" s="387"/>
      <c r="F104" s="393">
        <v>0</v>
      </c>
      <c r="G104" s="393"/>
      <c r="H104" s="393">
        <v>0</v>
      </c>
      <c r="I104" s="393"/>
      <c r="J104" s="330">
        <f t="shared" si="7"/>
        <v>0</v>
      </c>
      <c r="K104" s="245">
        <f t="shared" si="8"/>
        <v>0</v>
      </c>
      <c r="L104" s="331">
        <f t="shared" si="9"/>
        <v>0</v>
      </c>
      <c r="M104" s="331">
        <f t="shared" si="10"/>
        <v>0</v>
      </c>
      <c r="N104" s="365">
        <f t="shared" si="11"/>
        <v>0</v>
      </c>
      <c r="O104" s="366"/>
    </row>
    <row r="105" spans="1:17" ht="13.5" customHeight="1" x14ac:dyDescent="0.2">
      <c r="A105" s="415"/>
      <c r="B105" s="471"/>
      <c r="C105" s="372"/>
      <c r="D105" s="373"/>
      <c r="E105" s="374"/>
      <c r="F105" s="375">
        <v>0</v>
      </c>
      <c r="G105" s="375"/>
      <c r="H105" s="375">
        <v>0</v>
      </c>
      <c r="I105" s="375"/>
      <c r="J105" s="332">
        <f t="shared" si="7"/>
        <v>0</v>
      </c>
      <c r="K105" s="246">
        <f t="shared" si="8"/>
        <v>0</v>
      </c>
      <c r="L105" s="333">
        <f t="shared" si="9"/>
        <v>0</v>
      </c>
      <c r="M105" s="331">
        <f t="shared" si="10"/>
        <v>0</v>
      </c>
      <c r="N105" s="365">
        <f t="shared" si="11"/>
        <v>0</v>
      </c>
      <c r="O105" s="366"/>
      <c r="Q105" s="224" t="s">
        <v>162</v>
      </c>
    </row>
    <row r="106" spans="1:17" ht="13.5" customHeight="1" thickBot="1" x14ac:dyDescent="0.25">
      <c r="A106" s="415"/>
      <c r="B106" s="471"/>
      <c r="C106" s="372"/>
      <c r="D106" s="373"/>
      <c r="E106" s="374"/>
      <c r="F106" s="375">
        <v>0</v>
      </c>
      <c r="G106" s="375"/>
      <c r="H106" s="375">
        <v>0</v>
      </c>
      <c r="I106" s="375"/>
      <c r="J106" s="332">
        <f t="shared" ref="J106:J120" si="12">F106+H106</f>
        <v>0</v>
      </c>
      <c r="K106" s="246">
        <f t="shared" si="8"/>
        <v>0</v>
      </c>
      <c r="L106" s="333">
        <f t="shared" si="9"/>
        <v>0</v>
      </c>
      <c r="M106" s="331">
        <f t="shared" si="10"/>
        <v>0</v>
      </c>
      <c r="N106" s="365">
        <f t="shared" ref="N106:N120" si="13">K106+L106+M106</f>
        <v>0</v>
      </c>
      <c r="O106" s="366"/>
    </row>
    <row r="107" spans="1:17" ht="13.5" hidden="1" customHeight="1" x14ac:dyDescent="0.2">
      <c r="A107" s="415"/>
      <c r="B107" s="471"/>
      <c r="C107" s="372"/>
      <c r="D107" s="373"/>
      <c r="E107" s="374"/>
      <c r="F107" s="375">
        <v>0</v>
      </c>
      <c r="G107" s="375"/>
      <c r="H107" s="375">
        <v>0</v>
      </c>
      <c r="I107" s="375"/>
      <c r="J107" s="332">
        <f t="shared" si="12"/>
        <v>0</v>
      </c>
      <c r="K107" s="246">
        <f t="shared" si="8"/>
        <v>0</v>
      </c>
      <c r="L107" s="333">
        <f t="shared" si="9"/>
        <v>0</v>
      </c>
      <c r="M107" s="331">
        <f t="shared" si="10"/>
        <v>0</v>
      </c>
      <c r="N107" s="365">
        <f t="shared" si="13"/>
        <v>0</v>
      </c>
      <c r="O107" s="366"/>
    </row>
    <row r="108" spans="1:17" ht="13.5" hidden="1" customHeight="1" x14ac:dyDescent="0.2">
      <c r="A108" s="415"/>
      <c r="B108" s="471"/>
      <c r="C108" s="372"/>
      <c r="D108" s="373"/>
      <c r="E108" s="374"/>
      <c r="F108" s="375">
        <v>0</v>
      </c>
      <c r="G108" s="375"/>
      <c r="H108" s="375">
        <v>0</v>
      </c>
      <c r="I108" s="375"/>
      <c r="J108" s="332">
        <f t="shared" si="12"/>
        <v>0</v>
      </c>
      <c r="K108" s="246">
        <f t="shared" si="8"/>
        <v>0</v>
      </c>
      <c r="L108" s="333">
        <f t="shared" si="9"/>
        <v>0</v>
      </c>
      <c r="M108" s="331">
        <f t="shared" si="10"/>
        <v>0</v>
      </c>
      <c r="N108" s="365">
        <f t="shared" si="13"/>
        <v>0</v>
      </c>
      <c r="O108" s="366"/>
    </row>
    <row r="109" spans="1:17" ht="13.5" hidden="1" customHeight="1" x14ac:dyDescent="0.2">
      <c r="A109" s="415"/>
      <c r="B109" s="471"/>
      <c r="C109" s="372"/>
      <c r="D109" s="373"/>
      <c r="E109" s="374"/>
      <c r="F109" s="375">
        <v>0</v>
      </c>
      <c r="G109" s="375"/>
      <c r="H109" s="375">
        <v>0</v>
      </c>
      <c r="I109" s="375"/>
      <c r="J109" s="332">
        <f t="shared" si="12"/>
        <v>0</v>
      </c>
      <c r="K109" s="246">
        <f t="shared" si="8"/>
        <v>0</v>
      </c>
      <c r="L109" s="333">
        <f t="shared" si="9"/>
        <v>0</v>
      </c>
      <c r="M109" s="331">
        <f t="shared" si="10"/>
        <v>0</v>
      </c>
      <c r="N109" s="365">
        <f t="shared" si="13"/>
        <v>0</v>
      </c>
      <c r="O109" s="366"/>
    </row>
    <row r="110" spans="1:17" ht="13.5" hidden="1" customHeight="1" x14ac:dyDescent="0.2">
      <c r="A110" s="415"/>
      <c r="B110" s="471"/>
      <c r="C110" s="372"/>
      <c r="D110" s="373"/>
      <c r="E110" s="374"/>
      <c r="F110" s="375">
        <v>0</v>
      </c>
      <c r="G110" s="375"/>
      <c r="H110" s="375">
        <v>0</v>
      </c>
      <c r="I110" s="375"/>
      <c r="J110" s="332">
        <f t="shared" ref="J110:J114" si="14">F110+H110</f>
        <v>0</v>
      </c>
      <c r="K110" s="246">
        <f t="shared" si="8"/>
        <v>0</v>
      </c>
      <c r="L110" s="333">
        <f t="shared" si="9"/>
        <v>0</v>
      </c>
      <c r="M110" s="331">
        <f t="shared" si="10"/>
        <v>0</v>
      </c>
      <c r="N110" s="365">
        <f t="shared" ref="N110:N114" si="15">K110+L110+M110</f>
        <v>0</v>
      </c>
      <c r="O110" s="366"/>
    </row>
    <row r="111" spans="1:17" ht="13.5" hidden="1" customHeight="1" x14ac:dyDescent="0.2">
      <c r="A111" s="415"/>
      <c r="B111" s="471"/>
      <c r="C111" s="372"/>
      <c r="D111" s="373"/>
      <c r="E111" s="374"/>
      <c r="F111" s="375">
        <v>0</v>
      </c>
      <c r="G111" s="375"/>
      <c r="H111" s="375">
        <v>0</v>
      </c>
      <c r="I111" s="375"/>
      <c r="J111" s="332">
        <f t="shared" si="14"/>
        <v>0</v>
      </c>
      <c r="K111" s="246">
        <f t="shared" si="8"/>
        <v>0</v>
      </c>
      <c r="L111" s="333">
        <f t="shared" si="9"/>
        <v>0</v>
      </c>
      <c r="M111" s="331">
        <f t="shared" si="10"/>
        <v>0</v>
      </c>
      <c r="N111" s="365">
        <f t="shared" si="15"/>
        <v>0</v>
      </c>
      <c r="O111" s="366"/>
    </row>
    <row r="112" spans="1:17" ht="13.5" hidden="1" customHeight="1" x14ac:dyDescent="0.2">
      <c r="A112" s="415"/>
      <c r="B112" s="471"/>
      <c r="C112" s="372"/>
      <c r="D112" s="373"/>
      <c r="E112" s="374"/>
      <c r="F112" s="375">
        <v>0</v>
      </c>
      <c r="G112" s="375"/>
      <c r="H112" s="375">
        <v>0</v>
      </c>
      <c r="I112" s="375"/>
      <c r="J112" s="332">
        <f t="shared" si="14"/>
        <v>0</v>
      </c>
      <c r="K112" s="246">
        <f t="shared" si="8"/>
        <v>0</v>
      </c>
      <c r="L112" s="333">
        <f t="shared" si="9"/>
        <v>0</v>
      </c>
      <c r="M112" s="331">
        <f t="shared" si="10"/>
        <v>0</v>
      </c>
      <c r="N112" s="365">
        <f t="shared" si="15"/>
        <v>0</v>
      </c>
      <c r="O112" s="366"/>
    </row>
    <row r="113" spans="1:16" ht="13.5" hidden="1" customHeight="1" x14ac:dyDescent="0.2">
      <c r="A113" s="415"/>
      <c r="B113" s="471"/>
      <c r="C113" s="372"/>
      <c r="D113" s="373"/>
      <c r="E113" s="374"/>
      <c r="F113" s="375">
        <v>0</v>
      </c>
      <c r="G113" s="375"/>
      <c r="H113" s="375">
        <v>0</v>
      </c>
      <c r="I113" s="375"/>
      <c r="J113" s="332">
        <f t="shared" si="14"/>
        <v>0</v>
      </c>
      <c r="K113" s="246">
        <f t="shared" si="8"/>
        <v>0</v>
      </c>
      <c r="L113" s="333">
        <f t="shared" si="9"/>
        <v>0</v>
      </c>
      <c r="M113" s="331">
        <f t="shared" si="10"/>
        <v>0</v>
      </c>
      <c r="N113" s="365">
        <f t="shared" si="15"/>
        <v>0</v>
      </c>
      <c r="O113" s="366"/>
    </row>
    <row r="114" spans="1:16" ht="13.5" hidden="1" customHeight="1" x14ac:dyDescent="0.2">
      <c r="A114" s="415"/>
      <c r="B114" s="471"/>
      <c r="C114" s="372"/>
      <c r="D114" s="373"/>
      <c r="E114" s="374"/>
      <c r="F114" s="375">
        <v>0</v>
      </c>
      <c r="G114" s="375"/>
      <c r="H114" s="375">
        <v>0</v>
      </c>
      <c r="I114" s="375"/>
      <c r="J114" s="332">
        <f t="shared" si="14"/>
        <v>0</v>
      </c>
      <c r="K114" s="246">
        <f t="shared" si="8"/>
        <v>0</v>
      </c>
      <c r="L114" s="333">
        <f t="shared" si="9"/>
        <v>0</v>
      </c>
      <c r="M114" s="331">
        <f t="shared" si="10"/>
        <v>0</v>
      </c>
      <c r="N114" s="365">
        <f t="shared" si="15"/>
        <v>0</v>
      </c>
      <c r="O114" s="366"/>
    </row>
    <row r="115" spans="1:16" ht="13.5" hidden="1" customHeight="1" x14ac:dyDescent="0.2">
      <c r="A115" s="415"/>
      <c r="B115" s="471"/>
      <c r="C115" s="372"/>
      <c r="D115" s="373"/>
      <c r="E115" s="374"/>
      <c r="F115" s="375">
        <v>0</v>
      </c>
      <c r="G115" s="375"/>
      <c r="H115" s="375">
        <v>0</v>
      </c>
      <c r="I115" s="375"/>
      <c r="J115" s="332">
        <f t="shared" ref="J115:J116" si="16">F115+H115</f>
        <v>0</v>
      </c>
      <c r="K115" s="246">
        <f t="shared" si="8"/>
        <v>0</v>
      </c>
      <c r="L115" s="333">
        <f t="shared" si="9"/>
        <v>0</v>
      </c>
      <c r="M115" s="331">
        <f t="shared" si="10"/>
        <v>0</v>
      </c>
      <c r="N115" s="365">
        <f t="shared" ref="N115:N116" si="17">K115+L115+M115</f>
        <v>0</v>
      </c>
      <c r="O115" s="366"/>
    </row>
    <row r="116" spans="1:16" ht="13.5" hidden="1" customHeight="1" x14ac:dyDescent="0.2">
      <c r="A116" s="415"/>
      <c r="B116" s="471"/>
      <c r="C116" s="372"/>
      <c r="D116" s="373"/>
      <c r="E116" s="374"/>
      <c r="F116" s="375">
        <v>0</v>
      </c>
      <c r="G116" s="375"/>
      <c r="H116" s="375">
        <v>0</v>
      </c>
      <c r="I116" s="375"/>
      <c r="J116" s="332">
        <f t="shared" si="16"/>
        <v>0</v>
      </c>
      <c r="K116" s="246">
        <f t="shared" si="8"/>
        <v>0</v>
      </c>
      <c r="L116" s="333">
        <f t="shared" si="9"/>
        <v>0</v>
      </c>
      <c r="M116" s="331">
        <f t="shared" si="10"/>
        <v>0</v>
      </c>
      <c r="N116" s="365">
        <f t="shared" si="17"/>
        <v>0</v>
      </c>
      <c r="O116" s="366"/>
    </row>
    <row r="117" spans="1:16" ht="13.5" hidden="1" customHeight="1" x14ac:dyDescent="0.2">
      <c r="A117" s="415"/>
      <c r="B117" s="471"/>
      <c r="C117" s="372"/>
      <c r="D117" s="373"/>
      <c r="E117" s="374"/>
      <c r="F117" s="375">
        <v>0</v>
      </c>
      <c r="G117" s="375"/>
      <c r="H117" s="375">
        <v>0</v>
      </c>
      <c r="I117" s="375"/>
      <c r="J117" s="332">
        <f t="shared" si="12"/>
        <v>0</v>
      </c>
      <c r="K117" s="246">
        <f t="shared" si="8"/>
        <v>0</v>
      </c>
      <c r="L117" s="333">
        <f t="shared" si="9"/>
        <v>0</v>
      </c>
      <c r="M117" s="331">
        <f t="shared" si="10"/>
        <v>0</v>
      </c>
      <c r="N117" s="365">
        <f t="shared" si="13"/>
        <v>0</v>
      </c>
      <c r="O117" s="366"/>
    </row>
    <row r="118" spans="1:16" ht="13.5" hidden="1" customHeight="1" x14ac:dyDescent="0.2">
      <c r="A118" s="415"/>
      <c r="B118" s="471"/>
      <c r="C118" s="372"/>
      <c r="D118" s="373"/>
      <c r="E118" s="374"/>
      <c r="F118" s="375">
        <v>0</v>
      </c>
      <c r="G118" s="375"/>
      <c r="H118" s="375">
        <v>0</v>
      </c>
      <c r="I118" s="375"/>
      <c r="J118" s="332">
        <f t="shared" si="12"/>
        <v>0</v>
      </c>
      <c r="K118" s="246">
        <f t="shared" si="8"/>
        <v>0</v>
      </c>
      <c r="L118" s="333">
        <f t="shared" si="9"/>
        <v>0</v>
      </c>
      <c r="M118" s="331">
        <f t="shared" si="10"/>
        <v>0</v>
      </c>
      <c r="N118" s="365">
        <f t="shared" si="13"/>
        <v>0</v>
      </c>
      <c r="O118" s="366"/>
    </row>
    <row r="119" spans="1:16" ht="13.5" hidden="1" customHeight="1" x14ac:dyDescent="0.2">
      <c r="A119" s="415"/>
      <c r="B119" s="471"/>
      <c r="C119" s="372"/>
      <c r="D119" s="373"/>
      <c r="E119" s="374"/>
      <c r="F119" s="375">
        <v>0</v>
      </c>
      <c r="G119" s="375"/>
      <c r="H119" s="375">
        <v>0</v>
      </c>
      <c r="I119" s="375"/>
      <c r="J119" s="332">
        <f t="shared" si="12"/>
        <v>0</v>
      </c>
      <c r="K119" s="246">
        <f t="shared" si="8"/>
        <v>0</v>
      </c>
      <c r="L119" s="333">
        <f t="shared" si="9"/>
        <v>0</v>
      </c>
      <c r="M119" s="331">
        <f t="shared" si="10"/>
        <v>0</v>
      </c>
      <c r="N119" s="365">
        <f t="shared" si="13"/>
        <v>0</v>
      </c>
      <c r="O119" s="366"/>
    </row>
    <row r="120" spans="1:16" ht="13.5" hidden="1" customHeight="1" thickBot="1" x14ac:dyDescent="0.25">
      <c r="A120" s="415"/>
      <c r="B120" s="471"/>
      <c r="C120" s="372"/>
      <c r="D120" s="373"/>
      <c r="E120" s="374"/>
      <c r="F120" s="375">
        <v>0</v>
      </c>
      <c r="G120" s="375"/>
      <c r="H120" s="375">
        <v>0</v>
      </c>
      <c r="I120" s="375"/>
      <c r="J120" s="332">
        <f t="shared" si="12"/>
        <v>0</v>
      </c>
      <c r="K120" s="246">
        <f t="shared" si="8"/>
        <v>0</v>
      </c>
      <c r="L120" s="333">
        <f t="shared" si="9"/>
        <v>0</v>
      </c>
      <c r="M120" s="331">
        <f t="shared" si="10"/>
        <v>0</v>
      </c>
      <c r="N120" s="479">
        <f t="shared" si="13"/>
        <v>0</v>
      </c>
      <c r="O120" s="480"/>
    </row>
    <row r="121" spans="1:16" ht="13.5" customHeight="1" thickBot="1" x14ac:dyDescent="0.25">
      <c r="A121" s="416"/>
      <c r="B121" s="472"/>
      <c r="C121" s="436" t="s">
        <v>163</v>
      </c>
      <c r="D121" s="436"/>
      <c r="E121" s="437"/>
      <c r="F121" s="379">
        <f>SUM(F101:G120)</f>
        <v>0</v>
      </c>
      <c r="G121" s="379"/>
      <c r="H121" s="379">
        <f>SUM(H101:I120)</f>
        <v>0</v>
      </c>
      <c r="I121" s="379"/>
      <c r="J121" s="334">
        <f>SUM(J101:J120)</f>
        <v>0</v>
      </c>
      <c r="K121" s="247">
        <f>SUM(K101:K120)</f>
        <v>0</v>
      </c>
      <c r="L121" s="335">
        <f>SUM(L101:L120)</f>
        <v>0</v>
      </c>
      <c r="M121" s="336">
        <f>SUM(M101:M120)</f>
        <v>0</v>
      </c>
      <c r="N121" s="248"/>
      <c r="O121" s="249"/>
    </row>
    <row r="122" spans="1:16" ht="18" hidden="1" customHeight="1" x14ac:dyDescent="0.2">
      <c r="A122" s="396"/>
      <c r="B122" s="396"/>
      <c r="C122" s="396"/>
      <c r="D122" s="396"/>
      <c r="E122" s="396"/>
      <c r="F122" s="396"/>
      <c r="G122" s="396"/>
      <c r="H122" s="396"/>
      <c r="I122" s="396"/>
      <c r="J122" s="396"/>
      <c r="K122" s="396"/>
      <c r="L122" s="396"/>
      <c r="M122" s="396"/>
      <c r="N122" s="396"/>
      <c r="O122" s="396"/>
      <c r="P122" s="31"/>
    </row>
    <row r="123" spans="1:16" ht="18" hidden="1" customHeight="1" x14ac:dyDescent="0.2">
      <c r="A123" s="124"/>
      <c r="B123" s="218"/>
      <c r="C123" s="218"/>
      <c r="D123" s="218"/>
      <c r="E123" s="218"/>
      <c r="F123" s="219" t="s">
        <v>164</v>
      </c>
      <c r="G123" s="218">
        <f>IF(MONTH(L5)&lt;9,YEAR(L5),YEAR(L5)+1)</f>
        <v>2025</v>
      </c>
      <c r="H123" s="218"/>
      <c r="I123" s="219" t="s">
        <v>165</v>
      </c>
      <c r="J123" s="219" t="s">
        <v>166</v>
      </c>
      <c r="K123" s="219" t="s">
        <v>167</v>
      </c>
      <c r="L123" s="124"/>
      <c r="M123" s="124"/>
      <c r="N123" s="124"/>
      <c r="O123" s="124"/>
      <c r="P123" s="31"/>
    </row>
    <row r="124" spans="1:16" ht="18" hidden="1" customHeight="1" x14ac:dyDescent="0.2">
      <c r="A124" s="124"/>
      <c r="B124" s="218"/>
      <c r="C124" s="218"/>
      <c r="D124" s="218"/>
      <c r="E124" s="218"/>
      <c r="F124" s="218"/>
      <c r="G124" s="218"/>
      <c r="H124" s="218"/>
      <c r="I124" s="218">
        <v>2018</v>
      </c>
      <c r="J124" s="218">
        <v>0.47</v>
      </c>
      <c r="K124" s="220">
        <f>DATE(I124,8,31)</f>
        <v>43343</v>
      </c>
      <c r="L124" s="124"/>
      <c r="M124" s="124"/>
      <c r="N124" s="124"/>
      <c r="O124" s="124"/>
      <c r="P124" s="31"/>
    </row>
    <row r="125" spans="1:16" ht="18" hidden="1" customHeight="1" x14ac:dyDescent="0.2">
      <c r="A125" s="124"/>
      <c r="B125" s="218"/>
      <c r="C125" s="218"/>
      <c r="D125" s="218"/>
      <c r="E125" s="218"/>
      <c r="F125" s="218"/>
      <c r="G125" s="218"/>
      <c r="H125" s="218"/>
      <c r="I125" s="218">
        <v>2019</v>
      </c>
      <c r="J125" s="218">
        <v>0.49</v>
      </c>
      <c r="K125" s="220">
        <f t="shared" ref="K125:K142" si="18">DATE(I125,8,31)</f>
        <v>43708</v>
      </c>
      <c r="L125" s="124"/>
      <c r="M125" s="124"/>
      <c r="N125" s="124"/>
      <c r="O125" s="124"/>
      <c r="P125" s="31"/>
    </row>
    <row r="126" spans="1:16" ht="18" hidden="1" customHeight="1" x14ac:dyDescent="0.2">
      <c r="A126" s="124"/>
      <c r="B126" s="218"/>
      <c r="C126" s="218"/>
      <c r="D126" s="218"/>
      <c r="E126" s="218"/>
      <c r="F126" s="218"/>
      <c r="G126" s="218"/>
      <c r="H126" s="218"/>
      <c r="I126" s="218">
        <v>2020</v>
      </c>
      <c r="J126" s="218">
        <v>0.495</v>
      </c>
      <c r="K126" s="220">
        <f t="shared" si="18"/>
        <v>44074</v>
      </c>
      <c r="L126" s="124"/>
      <c r="M126" s="124"/>
      <c r="N126" s="124"/>
      <c r="O126" s="124"/>
      <c r="P126" s="31"/>
    </row>
    <row r="127" spans="1:16" ht="18" hidden="1" customHeight="1" x14ac:dyDescent="0.2">
      <c r="A127" s="124"/>
      <c r="B127" s="218"/>
      <c r="C127" s="218"/>
      <c r="D127" s="218"/>
      <c r="E127" s="218"/>
      <c r="F127" s="218"/>
      <c r="G127" s="218"/>
      <c r="H127" s="218"/>
      <c r="I127" s="218">
        <v>2021</v>
      </c>
      <c r="J127" s="218">
        <v>0.5</v>
      </c>
      <c r="K127" s="220">
        <f t="shared" si="18"/>
        <v>44439</v>
      </c>
      <c r="L127" s="124"/>
      <c r="M127" s="124"/>
      <c r="N127" s="124"/>
      <c r="O127" s="124"/>
      <c r="P127" s="31"/>
    </row>
    <row r="128" spans="1:16" ht="18" hidden="1" customHeight="1" x14ac:dyDescent="0.2">
      <c r="A128" s="124"/>
      <c r="B128" s="218"/>
      <c r="C128" s="218"/>
      <c r="D128" s="218"/>
      <c r="E128" s="218"/>
      <c r="F128" s="218"/>
      <c r="G128" s="218"/>
      <c r="H128" s="218"/>
      <c r="I128" s="218">
        <v>2022</v>
      </c>
      <c r="J128" s="218">
        <v>0.5</v>
      </c>
      <c r="K128" s="220">
        <f t="shared" si="18"/>
        <v>44804</v>
      </c>
      <c r="L128" s="124"/>
      <c r="M128" s="124"/>
      <c r="N128" s="124"/>
      <c r="O128" s="124"/>
      <c r="P128" s="31"/>
    </row>
    <row r="129" spans="1:27" ht="18" hidden="1" customHeight="1" x14ac:dyDescent="0.2">
      <c r="A129" s="124"/>
      <c r="B129" s="218"/>
      <c r="C129" s="218"/>
      <c r="D129" s="218"/>
      <c r="E129" s="218"/>
      <c r="F129" s="218"/>
      <c r="G129" s="218"/>
      <c r="H129" s="218"/>
      <c r="I129" s="218">
        <v>2023</v>
      </c>
      <c r="J129" s="218">
        <v>0.5</v>
      </c>
      <c r="K129" s="220">
        <f t="shared" si="18"/>
        <v>45169</v>
      </c>
      <c r="L129" s="124"/>
      <c r="M129" s="124"/>
      <c r="N129" s="124"/>
      <c r="O129" s="124"/>
      <c r="P129" s="31"/>
    </row>
    <row r="130" spans="1:27" ht="18" hidden="1" customHeight="1" x14ac:dyDescent="0.2">
      <c r="A130" s="124"/>
      <c r="B130" s="218"/>
      <c r="C130" s="218"/>
      <c r="D130" s="218"/>
      <c r="E130" s="218"/>
      <c r="F130" s="218"/>
      <c r="G130" s="218"/>
      <c r="H130" s="218"/>
      <c r="I130" s="218">
        <v>2024</v>
      </c>
      <c r="J130" s="218">
        <v>0.5</v>
      </c>
      <c r="K130" s="220">
        <f t="shared" si="18"/>
        <v>45535</v>
      </c>
      <c r="L130" s="124"/>
      <c r="M130" s="124"/>
      <c r="N130" s="124"/>
      <c r="O130" s="124"/>
      <c r="P130" s="31"/>
    </row>
    <row r="131" spans="1:27" ht="18" hidden="1" customHeight="1" x14ac:dyDescent="0.2">
      <c r="A131" s="124"/>
      <c r="B131" s="218"/>
      <c r="C131" s="218"/>
      <c r="D131" s="218"/>
      <c r="E131" s="218"/>
      <c r="F131" s="218"/>
      <c r="G131" s="218"/>
      <c r="H131" s="218"/>
      <c r="I131" s="218">
        <v>2025</v>
      </c>
      <c r="J131" s="218">
        <v>0.5</v>
      </c>
      <c r="K131" s="220">
        <f t="shared" si="18"/>
        <v>45900</v>
      </c>
      <c r="L131" s="124"/>
      <c r="M131" s="124"/>
      <c r="N131" s="124"/>
      <c r="O131" s="124"/>
      <c r="P131" s="31"/>
    </row>
    <row r="132" spans="1:27" ht="18" hidden="1" customHeight="1" x14ac:dyDescent="0.2">
      <c r="A132" s="124"/>
      <c r="B132" s="218"/>
      <c r="C132" s="218"/>
      <c r="D132" s="218"/>
      <c r="E132" s="218"/>
      <c r="F132" s="218"/>
      <c r="G132" s="218"/>
      <c r="H132" s="218"/>
      <c r="I132" s="218">
        <v>2026</v>
      </c>
      <c r="J132" s="218">
        <v>0.5</v>
      </c>
      <c r="K132" s="220">
        <f t="shared" si="18"/>
        <v>46265</v>
      </c>
      <c r="L132" s="124"/>
      <c r="M132" s="124"/>
      <c r="N132" s="124"/>
      <c r="O132" s="124"/>
      <c r="P132" s="31"/>
    </row>
    <row r="133" spans="1:27" ht="18" hidden="1" customHeight="1" x14ac:dyDescent="0.2">
      <c r="A133" s="124"/>
      <c r="B133" s="218"/>
      <c r="C133" s="218"/>
      <c r="D133" s="218"/>
      <c r="E133" s="218"/>
      <c r="F133" s="218"/>
      <c r="G133" s="218"/>
      <c r="H133" s="218"/>
      <c r="I133" s="218">
        <v>2027</v>
      </c>
      <c r="J133" s="218">
        <v>0.5</v>
      </c>
      <c r="K133" s="220">
        <f t="shared" si="18"/>
        <v>46630</v>
      </c>
      <c r="L133" s="124"/>
      <c r="M133" s="124"/>
      <c r="N133" s="124"/>
      <c r="O133" s="124"/>
      <c r="P133" s="31"/>
    </row>
    <row r="134" spans="1:27" ht="18" hidden="1" customHeight="1" x14ac:dyDescent="0.2">
      <c r="A134" s="124"/>
      <c r="B134" s="218"/>
      <c r="C134" s="218"/>
      <c r="D134" s="218"/>
      <c r="E134" s="218"/>
      <c r="F134" s="218"/>
      <c r="G134" s="218"/>
      <c r="H134" s="218"/>
      <c r="I134" s="218">
        <v>2028</v>
      </c>
      <c r="J134" s="218">
        <v>0.5</v>
      </c>
      <c r="K134" s="220">
        <f t="shared" si="18"/>
        <v>46996</v>
      </c>
      <c r="L134" s="124"/>
      <c r="M134" s="124"/>
      <c r="N134" s="124"/>
      <c r="O134" s="124"/>
      <c r="P134" s="31"/>
    </row>
    <row r="135" spans="1:27" ht="18" hidden="1" customHeight="1" x14ac:dyDescent="0.2">
      <c r="A135" s="124"/>
      <c r="B135" s="218"/>
      <c r="C135" s="218"/>
      <c r="D135" s="218"/>
      <c r="E135" s="218"/>
      <c r="F135" s="218"/>
      <c r="G135" s="218"/>
      <c r="H135" s="218"/>
      <c r="I135" s="218">
        <v>2029</v>
      </c>
      <c r="J135" s="218">
        <v>0.5</v>
      </c>
      <c r="K135" s="220">
        <f t="shared" si="18"/>
        <v>47361</v>
      </c>
      <c r="L135" s="124"/>
      <c r="M135" s="124"/>
      <c r="N135" s="124"/>
      <c r="O135" s="124"/>
      <c r="P135" s="31"/>
    </row>
    <row r="136" spans="1:27" ht="18" hidden="1" customHeight="1" x14ac:dyDescent="0.2">
      <c r="A136" s="124"/>
      <c r="B136" s="218"/>
      <c r="C136" s="218"/>
      <c r="D136" s="218"/>
      <c r="E136" s="218"/>
      <c r="F136" s="218"/>
      <c r="G136" s="218"/>
      <c r="H136" s="218"/>
      <c r="I136" s="218">
        <v>2030</v>
      </c>
      <c r="J136" s="218">
        <v>0.5</v>
      </c>
      <c r="K136" s="220">
        <f t="shared" si="18"/>
        <v>47726</v>
      </c>
      <c r="L136" s="124"/>
      <c r="M136" s="124"/>
      <c r="N136" s="124"/>
      <c r="O136" s="124"/>
      <c r="P136" s="31"/>
    </row>
    <row r="137" spans="1:27" ht="18" hidden="1" customHeight="1" x14ac:dyDescent="0.2">
      <c r="A137" s="124"/>
      <c r="B137" s="218"/>
      <c r="C137" s="218"/>
      <c r="D137" s="218"/>
      <c r="E137" s="218"/>
      <c r="F137" s="218"/>
      <c r="G137" s="218"/>
      <c r="H137" s="218"/>
      <c r="I137" s="218">
        <v>2031</v>
      </c>
      <c r="J137" s="218">
        <v>0.5</v>
      </c>
      <c r="K137" s="220">
        <f t="shared" si="18"/>
        <v>48091</v>
      </c>
      <c r="L137" s="124"/>
      <c r="M137" s="124"/>
      <c r="N137" s="124"/>
      <c r="O137" s="124"/>
      <c r="P137" s="31"/>
    </row>
    <row r="138" spans="1:27" ht="18" hidden="1" customHeight="1" x14ac:dyDescent="0.2">
      <c r="A138" s="124"/>
      <c r="B138" s="218"/>
      <c r="C138" s="218"/>
      <c r="D138" s="218"/>
      <c r="E138" s="218"/>
      <c r="F138" s="218"/>
      <c r="G138" s="218"/>
      <c r="H138" s="218"/>
      <c r="I138" s="218">
        <v>2032</v>
      </c>
      <c r="J138" s="218">
        <v>0.5</v>
      </c>
      <c r="K138" s="220">
        <f t="shared" si="18"/>
        <v>48457</v>
      </c>
      <c r="L138" s="124"/>
      <c r="M138" s="124"/>
      <c r="N138" s="124"/>
      <c r="O138" s="124"/>
      <c r="P138" s="31"/>
    </row>
    <row r="139" spans="1:27" ht="18" hidden="1" customHeight="1" x14ac:dyDescent="0.2">
      <c r="A139" s="124"/>
      <c r="B139" s="218"/>
      <c r="C139" s="218"/>
      <c r="D139" s="218"/>
      <c r="E139" s="218"/>
      <c r="F139" s="218"/>
      <c r="G139" s="218"/>
      <c r="H139" s="218"/>
      <c r="I139" s="218">
        <v>2033</v>
      </c>
      <c r="J139" s="218">
        <v>0.5</v>
      </c>
      <c r="K139" s="220">
        <f t="shared" si="18"/>
        <v>48822</v>
      </c>
      <c r="L139" s="124"/>
      <c r="M139" s="124"/>
      <c r="N139" s="124"/>
      <c r="O139" s="124"/>
      <c r="P139" s="31"/>
    </row>
    <row r="140" spans="1:27" ht="18" hidden="1" customHeight="1" x14ac:dyDescent="0.2">
      <c r="A140" s="124"/>
      <c r="B140" s="218"/>
      <c r="C140" s="218"/>
      <c r="D140" s="218"/>
      <c r="E140" s="218"/>
      <c r="F140" s="218"/>
      <c r="G140" s="218"/>
      <c r="H140" s="218"/>
      <c r="I140" s="218">
        <v>2034</v>
      </c>
      <c r="J140" s="218">
        <v>0.5</v>
      </c>
      <c r="K140" s="220">
        <f t="shared" si="18"/>
        <v>49187</v>
      </c>
      <c r="L140" s="124"/>
      <c r="M140" s="124"/>
      <c r="N140" s="124"/>
      <c r="O140" s="124"/>
      <c r="P140" s="31"/>
    </row>
    <row r="141" spans="1:27" ht="18" hidden="1" customHeight="1" x14ac:dyDescent="0.2">
      <c r="A141" s="124"/>
      <c r="B141" s="218"/>
      <c r="C141" s="218"/>
      <c r="D141" s="218"/>
      <c r="E141" s="218"/>
      <c r="F141" s="218"/>
      <c r="G141" s="218"/>
      <c r="H141" s="218"/>
      <c r="I141" s="218">
        <v>2035</v>
      </c>
      <c r="J141" s="218">
        <v>0.5</v>
      </c>
      <c r="K141" s="220">
        <f t="shared" si="18"/>
        <v>49552</v>
      </c>
      <c r="L141" s="124"/>
      <c r="M141" s="124"/>
      <c r="N141" s="124"/>
      <c r="O141" s="124"/>
      <c r="P141" s="31"/>
    </row>
    <row r="142" spans="1:27" ht="18" hidden="1" customHeight="1" x14ac:dyDescent="0.2">
      <c r="A142" s="124"/>
      <c r="B142" s="218"/>
      <c r="C142" s="218"/>
      <c r="D142" s="218"/>
      <c r="E142" s="218"/>
      <c r="F142" s="218"/>
      <c r="G142" s="218"/>
      <c r="H142" s="218"/>
      <c r="I142" s="218">
        <v>2036</v>
      </c>
      <c r="J142" s="218">
        <v>0.5</v>
      </c>
      <c r="K142" s="220">
        <f t="shared" si="18"/>
        <v>49918</v>
      </c>
      <c r="L142" s="124"/>
      <c r="M142" s="124"/>
      <c r="N142" s="124"/>
      <c r="O142" s="124"/>
      <c r="P142" s="31"/>
    </row>
    <row r="143" spans="1:27" ht="18" customHeight="1" thickBot="1" x14ac:dyDescent="0.25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31"/>
    </row>
    <row r="144" spans="1:27" ht="13.5" customHeight="1" x14ac:dyDescent="0.2">
      <c r="A144" s="414" t="s">
        <v>168</v>
      </c>
      <c r="B144" s="534" t="s">
        <v>169</v>
      </c>
      <c r="C144" s="535"/>
      <c r="D144" s="535"/>
      <c r="E144" s="535"/>
      <c r="F144" s="536"/>
      <c r="G144" s="427" t="s">
        <v>170</v>
      </c>
      <c r="H144" s="428"/>
      <c r="I144" s="428"/>
      <c r="J144" s="428"/>
      <c r="K144" s="429"/>
      <c r="L144" s="464" t="s">
        <v>171</v>
      </c>
      <c r="M144" s="465"/>
      <c r="N144" s="466"/>
      <c r="O144" s="337">
        <f>O155-H121</f>
        <v>0</v>
      </c>
      <c r="P144" s="150"/>
      <c r="Q144" s="1" t="s">
        <v>172</v>
      </c>
      <c r="U144" s="151"/>
      <c r="V144" s="109"/>
      <c r="W144" s="151"/>
      <c r="X144" s="110"/>
      <c r="Y144" s="14"/>
      <c r="Z144" s="14"/>
      <c r="AA144" s="14"/>
    </row>
    <row r="145" spans="1:27" ht="13.5" customHeight="1" x14ac:dyDescent="0.2">
      <c r="A145" s="415"/>
      <c r="B145" s="537"/>
      <c r="C145" s="538"/>
      <c r="D145" s="538"/>
      <c r="E145" s="538"/>
      <c r="F145" s="539"/>
      <c r="G145" s="430"/>
      <c r="H145" s="431"/>
      <c r="I145" s="431"/>
      <c r="J145" s="431"/>
      <c r="K145" s="432"/>
      <c r="L145" s="476" t="s">
        <v>173</v>
      </c>
      <c r="M145" s="477"/>
      <c r="N145" s="478"/>
      <c r="O145" s="338">
        <f>H121</f>
        <v>0</v>
      </c>
      <c r="P145" s="150"/>
      <c r="U145" s="111"/>
      <c r="V145" s="150"/>
      <c r="W145" s="111"/>
      <c r="X145" s="112"/>
      <c r="Y145" s="14"/>
      <c r="Z145" s="14"/>
      <c r="AA145" s="14"/>
    </row>
    <row r="146" spans="1:27" ht="13.5" customHeight="1" x14ac:dyDescent="0.2">
      <c r="A146" s="415"/>
      <c r="B146" s="369" t="s">
        <v>174</v>
      </c>
      <c r="C146" s="370"/>
      <c r="D146" s="370"/>
      <c r="E146" s="370"/>
      <c r="F146" s="371"/>
      <c r="G146" s="430"/>
      <c r="H146" s="431"/>
      <c r="I146" s="431"/>
      <c r="J146" s="431"/>
      <c r="K146" s="432"/>
      <c r="L146" s="376" t="s">
        <v>175</v>
      </c>
      <c r="M146" s="377"/>
      <c r="N146" s="378"/>
      <c r="O146" s="339">
        <f>O155-O87-O83-O92-O99+K121</f>
        <v>0</v>
      </c>
      <c r="P146" s="150"/>
      <c r="Q146" s="225" t="s">
        <v>176</v>
      </c>
      <c r="U146" s="151"/>
      <c r="V146" s="152"/>
      <c r="W146" s="151"/>
      <c r="X146" s="152"/>
      <c r="Y146" s="14"/>
      <c r="Z146" s="14"/>
      <c r="AA146" s="14"/>
    </row>
    <row r="147" spans="1:27" ht="13.5" customHeight="1" x14ac:dyDescent="0.2">
      <c r="A147" s="415"/>
      <c r="B147" s="226"/>
      <c r="C147" s="118" t="s">
        <v>177</v>
      </c>
      <c r="D147" s="118"/>
      <c r="E147" s="118"/>
      <c r="F147" s="227">
        <v>0.5</v>
      </c>
      <c r="G147" s="430"/>
      <c r="H147" s="431"/>
      <c r="I147" s="431"/>
      <c r="J147" s="431"/>
      <c r="K147" s="432"/>
      <c r="L147" s="231" t="s">
        <v>178</v>
      </c>
      <c r="M147" s="233">
        <f>VLOOKUP($G$123,$I$124:$J$142,2,FALSE)</f>
        <v>0.5</v>
      </c>
      <c r="N147" s="250" t="s">
        <v>179</v>
      </c>
      <c r="O147" s="340">
        <f>IF($L$7-VLOOKUP($G$123,$I$124:$K$142,3,FALSE)&lt;0,$O$146,ROUND((1-($L$7-VLOOKUP($G$123,$I$124:$K$142,3,FALSE))/($L$7+1-$L$5))*$O$146,0))</f>
        <v>0</v>
      </c>
      <c r="P147" s="150"/>
      <c r="Q147" s="108"/>
      <c r="U147" s="14"/>
      <c r="V147" s="14"/>
      <c r="W147" s="14"/>
      <c r="X147" s="14"/>
      <c r="Y147" s="14"/>
      <c r="Z147" s="14"/>
      <c r="AA147" s="14"/>
    </row>
    <row r="148" spans="1:27" ht="13.5" customHeight="1" x14ac:dyDescent="0.2">
      <c r="A148" s="415"/>
      <c r="B148" s="226"/>
      <c r="C148" s="118" t="s">
        <v>180</v>
      </c>
      <c r="D148" s="118"/>
      <c r="E148" s="118"/>
      <c r="F148" s="227">
        <v>0.5</v>
      </c>
      <c r="G148" s="430"/>
      <c r="H148" s="431"/>
      <c r="I148" s="431"/>
      <c r="J148" s="431"/>
      <c r="K148" s="432"/>
      <c r="L148" s="232" t="s">
        <v>181</v>
      </c>
      <c r="M148" s="233">
        <f>VLOOKUP($G$123+1,$I$124:$J$142,2,FALSE)</f>
        <v>0.5</v>
      </c>
      <c r="N148" s="250" t="s">
        <v>182</v>
      </c>
      <c r="O148" s="340">
        <f>O146-O147</f>
        <v>0</v>
      </c>
      <c r="P148" s="150"/>
      <c r="U148" s="14"/>
      <c r="V148" s="14"/>
      <c r="W148" s="14"/>
      <c r="X148" s="14"/>
      <c r="Y148" s="14"/>
      <c r="Z148" s="14"/>
      <c r="AA148" s="14"/>
    </row>
    <row r="149" spans="1:27" ht="13.5" customHeight="1" x14ac:dyDescent="0.3">
      <c r="A149" s="415"/>
      <c r="B149" s="226"/>
      <c r="C149" s="118" t="s">
        <v>183</v>
      </c>
      <c r="D149" s="118"/>
      <c r="E149" s="118"/>
      <c r="F149" s="227">
        <v>0.36</v>
      </c>
      <c r="G149" s="430"/>
      <c r="H149" s="431"/>
      <c r="I149" s="431"/>
      <c r="J149" s="431"/>
      <c r="K149" s="432"/>
      <c r="L149" s="528" t="s">
        <v>184</v>
      </c>
      <c r="M149" s="529"/>
      <c r="N149" s="530"/>
      <c r="O149" s="341">
        <f>ROUND(M147*O147,0)</f>
        <v>0</v>
      </c>
      <c r="P149" s="33"/>
      <c r="U149" s="14"/>
      <c r="V149" s="14"/>
      <c r="W149" s="14"/>
      <c r="X149" s="14"/>
      <c r="Y149" s="14"/>
      <c r="Z149" s="14"/>
      <c r="AA149" s="14"/>
    </row>
    <row r="150" spans="1:27" ht="13.5" customHeight="1" x14ac:dyDescent="0.3">
      <c r="A150" s="415"/>
      <c r="B150" s="228"/>
      <c r="C150" s="229"/>
      <c r="D150" s="229"/>
      <c r="E150" s="229"/>
      <c r="F150" s="230"/>
      <c r="G150" s="433"/>
      <c r="H150" s="434"/>
      <c r="I150" s="434"/>
      <c r="J150" s="434"/>
      <c r="K150" s="435"/>
      <c r="L150" s="531" t="s">
        <v>185</v>
      </c>
      <c r="M150" s="532"/>
      <c r="N150" s="533"/>
      <c r="O150" s="342">
        <f>ROUND(M148*O148,0)</f>
        <v>0</v>
      </c>
      <c r="P150" s="33"/>
      <c r="U150" s="14"/>
      <c r="V150" s="14"/>
      <c r="W150" s="14"/>
      <c r="X150" s="14"/>
      <c r="Y150" s="14"/>
      <c r="Z150" s="14"/>
      <c r="AA150" s="14"/>
    </row>
    <row r="151" spans="1:27" ht="13.5" customHeight="1" x14ac:dyDescent="0.2">
      <c r="A151" s="415"/>
      <c r="B151" s="369" t="s">
        <v>186</v>
      </c>
      <c r="C151" s="370"/>
      <c r="D151" s="370"/>
      <c r="E151" s="370"/>
      <c r="F151" s="371"/>
      <c r="G151" s="418" t="s">
        <v>187</v>
      </c>
      <c r="H151" s="419"/>
      <c r="I151" s="419"/>
      <c r="J151" s="419"/>
      <c r="K151" s="419"/>
      <c r="L151" s="419"/>
      <c r="M151" s="419"/>
      <c r="N151" s="419"/>
      <c r="O151" s="420"/>
      <c r="P151" s="155"/>
      <c r="U151" s="14"/>
      <c r="V151" s="14"/>
      <c r="W151" s="14"/>
      <c r="X151" s="14"/>
      <c r="Y151" s="14"/>
      <c r="Z151" s="14"/>
      <c r="AA151" s="14"/>
    </row>
    <row r="152" spans="1:27" ht="13.5" customHeight="1" x14ac:dyDescent="0.2">
      <c r="A152" s="415"/>
      <c r="B152" s="226"/>
      <c r="C152" s="118" t="s">
        <v>188</v>
      </c>
      <c r="D152" s="118"/>
      <c r="E152" s="118"/>
      <c r="F152" s="227">
        <v>0.26</v>
      </c>
      <c r="G152" s="421"/>
      <c r="H152" s="422"/>
      <c r="I152" s="422"/>
      <c r="J152" s="422"/>
      <c r="K152" s="422"/>
      <c r="L152" s="422"/>
      <c r="M152" s="422"/>
      <c r="N152" s="422"/>
      <c r="O152" s="423"/>
      <c r="P152" s="155"/>
      <c r="U152" s="14"/>
      <c r="V152" s="14"/>
      <c r="W152" s="14"/>
      <c r="X152" s="14"/>
      <c r="Y152" s="14"/>
      <c r="Z152" s="14"/>
      <c r="AA152" s="14"/>
    </row>
    <row r="153" spans="1:27" ht="13.5" customHeight="1" thickBot="1" x14ac:dyDescent="0.25">
      <c r="A153" s="416"/>
      <c r="B153" s="226"/>
      <c r="C153" s="118"/>
      <c r="D153" s="118"/>
      <c r="E153" s="118"/>
      <c r="F153" s="227"/>
      <c r="G153" s="424"/>
      <c r="H153" s="425"/>
      <c r="I153" s="425"/>
      <c r="J153" s="425"/>
      <c r="K153" s="425"/>
      <c r="L153" s="425"/>
      <c r="M153" s="425"/>
      <c r="N153" s="425"/>
      <c r="O153" s="426"/>
      <c r="P153" s="155"/>
    </row>
    <row r="154" spans="1:27" ht="18" customHeight="1" thickBot="1" x14ac:dyDescent="0.25">
      <c r="A154" s="417"/>
      <c r="B154" s="417"/>
      <c r="C154" s="417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31"/>
    </row>
    <row r="155" spans="1:27" ht="17.100000000000001" customHeight="1" x14ac:dyDescent="0.25">
      <c r="A155" s="398" t="s">
        <v>189</v>
      </c>
      <c r="B155" s="399"/>
      <c r="C155" s="404" t="s">
        <v>190</v>
      </c>
      <c r="D155" s="405"/>
      <c r="E155" s="406"/>
      <c r="F155" s="410"/>
      <c r="G155" s="411"/>
      <c r="H155" s="17"/>
      <c r="I155" s="414" t="s">
        <v>191</v>
      </c>
      <c r="J155" s="438" t="str">
        <f>K3</f>
        <v>Period 1</v>
      </c>
      <c r="K155" s="453" t="s">
        <v>192</v>
      </c>
      <c r="L155" s="454"/>
      <c r="M155" s="454"/>
      <c r="N155" s="455"/>
      <c r="O155" s="343">
        <f>O37+O83+O66+O87+O69+O99+O92</f>
        <v>0</v>
      </c>
      <c r="P155" s="156"/>
    </row>
    <row r="156" spans="1:27" ht="17.100000000000001" customHeight="1" x14ac:dyDescent="0.25">
      <c r="A156" s="400"/>
      <c r="B156" s="401"/>
      <c r="C156" s="407"/>
      <c r="D156" s="408"/>
      <c r="E156" s="409"/>
      <c r="F156" s="412"/>
      <c r="G156" s="413"/>
      <c r="H156" s="17"/>
      <c r="I156" s="415"/>
      <c r="J156" s="439"/>
      <c r="K156" s="444" t="s">
        <v>193</v>
      </c>
      <c r="L156" s="445"/>
      <c r="M156" s="445"/>
      <c r="N156" s="446"/>
      <c r="O156" s="344">
        <f>O149+O150</f>
        <v>0</v>
      </c>
      <c r="P156" s="156"/>
      <c r="Q156" s="23"/>
    </row>
    <row r="157" spans="1:27" ht="17.100000000000001" customHeight="1" thickBot="1" x14ac:dyDescent="0.3">
      <c r="A157" s="402"/>
      <c r="B157" s="403"/>
      <c r="C157" s="441" t="s">
        <v>194</v>
      </c>
      <c r="D157" s="442"/>
      <c r="E157" s="443"/>
      <c r="F157" s="394" t="str">
        <f>IF(O158&lt;&gt;0,F155/O158,"-")</f>
        <v>-</v>
      </c>
      <c r="G157" s="395"/>
      <c r="H157" s="17"/>
      <c r="I157" s="415"/>
      <c r="J157" s="439"/>
      <c r="K157" s="447" t="s">
        <v>195</v>
      </c>
      <c r="L157" s="448"/>
      <c r="M157" s="448"/>
      <c r="N157" s="449"/>
      <c r="O157" s="345">
        <f>O155+O156</f>
        <v>0</v>
      </c>
      <c r="P157" s="156"/>
    </row>
    <row r="158" spans="1:27" ht="17.100000000000001" customHeight="1" thickBot="1" x14ac:dyDescent="0.3">
      <c r="A158" s="396"/>
      <c r="B158" s="396"/>
      <c r="C158" s="396"/>
      <c r="D158" s="396"/>
      <c r="E158" s="396"/>
      <c r="F158" s="396"/>
      <c r="G158" s="396"/>
      <c r="H158" s="397"/>
      <c r="I158" s="416"/>
      <c r="J158" s="440"/>
      <c r="K158" s="450" t="s">
        <v>196</v>
      </c>
      <c r="L158" s="451"/>
      <c r="M158" s="451"/>
      <c r="N158" s="452"/>
      <c r="O158" s="346">
        <f>O157+F155</f>
        <v>0</v>
      </c>
      <c r="P158" s="156"/>
    </row>
  </sheetData>
  <sheetProtection algorithmName="SHA-512" hashValue="fTePivK5U1qSzO0hIMo9ikDg7wuMWHswSGmwn5jWbIPnOgGErQ39Ph6BDF5IsxXCP2uQpCKYXxaY9XFG1wtdwA==" saltValue="AGG/sLLJyS/we0BaoBU/+A==" spinCount="100000" sheet="1" formatRows="0" insertRows="0"/>
  <mergeCells count="225">
    <mergeCell ref="Q72:AB72"/>
    <mergeCell ref="L149:N149"/>
    <mergeCell ref="L150:N150"/>
    <mergeCell ref="B144:F144"/>
    <mergeCell ref="B145:F145"/>
    <mergeCell ref="G47:H47"/>
    <mergeCell ref="G48:H48"/>
    <mergeCell ref="G49:H49"/>
    <mergeCell ref="B47:C47"/>
    <mergeCell ref="B48:C48"/>
    <mergeCell ref="B49:C49"/>
    <mergeCell ref="A82:O82"/>
    <mergeCell ref="B66:M66"/>
    <mergeCell ref="B67:N67"/>
    <mergeCell ref="B68:N68"/>
    <mergeCell ref="B81:N81"/>
    <mergeCell ref="B69:M69"/>
    <mergeCell ref="B91:N91"/>
    <mergeCell ref="B92:M92"/>
    <mergeCell ref="B94:N94"/>
    <mergeCell ref="N103:O103"/>
    <mergeCell ref="A83:A97"/>
    <mergeCell ref="B83:M83"/>
    <mergeCell ref="B84:N84"/>
    <mergeCell ref="A1:O1"/>
    <mergeCell ref="A2:O2"/>
    <mergeCell ref="B45:C45"/>
    <mergeCell ref="G45:H45"/>
    <mergeCell ref="A37:A81"/>
    <mergeCell ref="B64:C64"/>
    <mergeCell ref="G64:H64"/>
    <mergeCell ref="B65:C65"/>
    <mergeCell ref="G65:H65"/>
    <mergeCell ref="B43:C43"/>
    <mergeCell ref="G43:H43"/>
    <mergeCell ref="B44:C44"/>
    <mergeCell ref="G44:H44"/>
    <mergeCell ref="B46:C46"/>
    <mergeCell ref="G46:H46"/>
    <mergeCell ref="B80:N80"/>
    <mergeCell ref="B40:C40"/>
    <mergeCell ref="G40:H40"/>
    <mergeCell ref="A3:C4"/>
    <mergeCell ref="M3:O3"/>
    <mergeCell ref="M4:O4"/>
    <mergeCell ref="A5:C6"/>
    <mergeCell ref="L5:L6"/>
    <mergeCell ref="B76:M76"/>
    <mergeCell ref="G39:H39"/>
    <mergeCell ref="A7:C10"/>
    <mergeCell ref="B41:C41"/>
    <mergeCell ref="G41:H41"/>
    <mergeCell ref="B42:C42"/>
    <mergeCell ref="G42:H42"/>
    <mergeCell ref="H101:I101"/>
    <mergeCell ref="L7:L8"/>
    <mergeCell ref="A36:O36"/>
    <mergeCell ref="B38:C38"/>
    <mergeCell ref="G38:H38"/>
    <mergeCell ref="B39:C39"/>
    <mergeCell ref="B37:J37"/>
    <mergeCell ref="K37:L37"/>
    <mergeCell ref="D7:J10"/>
    <mergeCell ref="B95:N95"/>
    <mergeCell ref="B96:N96"/>
    <mergeCell ref="B97:N97"/>
    <mergeCell ref="B85:N85"/>
    <mergeCell ref="B86:N86"/>
    <mergeCell ref="B87:M87"/>
    <mergeCell ref="B88:N88"/>
    <mergeCell ref="B89:N89"/>
    <mergeCell ref="G50:H50"/>
    <mergeCell ref="G51:H51"/>
    <mergeCell ref="N109:O109"/>
    <mergeCell ref="F106:G106"/>
    <mergeCell ref="F107:G107"/>
    <mergeCell ref="F108:G108"/>
    <mergeCell ref="N117:O117"/>
    <mergeCell ref="N118:O118"/>
    <mergeCell ref="L145:N145"/>
    <mergeCell ref="H106:I106"/>
    <mergeCell ref="H107:I107"/>
    <mergeCell ref="H108:I108"/>
    <mergeCell ref="H109:I109"/>
    <mergeCell ref="N119:O119"/>
    <mergeCell ref="N120:O120"/>
    <mergeCell ref="N114:O114"/>
    <mergeCell ref="N113:O113"/>
    <mergeCell ref="N112:O112"/>
    <mergeCell ref="N111:O111"/>
    <mergeCell ref="N110:O110"/>
    <mergeCell ref="G52:H52"/>
    <mergeCell ref="G53:H53"/>
    <mergeCell ref="G54:H54"/>
    <mergeCell ref="G55:H55"/>
    <mergeCell ref="G56:H56"/>
    <mergeCell ref="J155:J158"/>
    <mergeCell ref="C157:E157"/>
    <mergeCell ref="K156:N156"/>
    <mergeCell ref="K157:N157"/>
    <mergeCell ref="K158:N158"/>
    <mergeCell ref="K155:N155"/>
    <mergeCell ref="D3:F4"/>
    <mergeCell ref="D5:F6"/>
    <mergeCell ref="K5:K6"/>
    <mergeCell ref="K7:K8"/>
    <mergeCell ref="K3:L4"/>
    <mergeCell ref="A122:O122"/>
    <mergeCell ref="A144:A153"/>
    <mergeCell ref="L144:N144"/>
    <mergeCell ref="B79:N79"/>
    <mergeCell ref="B98:O98"/>
    <mergeCell ref="A99:A121"/>
    <mergeCell ref="B99:M99"/>
    <mergeCell ref="B100:B121"/>
    <mergeCell ref="F100:G100"/>
    <mergeCell ref="H100:I100"/>
    <mergeCell ref="C101:E101"/>
    <mergeCell ref="F101:G101"/>
    <mergeCell ref="H105:I105"/>
    <mergeCell ref="F157:G157"/>
    <mergeCell ref="A158:H158"/>
    <mergeCell ref="A155:B157"/>
    <mergeCell ref="C155:E156"/>
    <mergeCell ref="F155:G156"/>
    <mergeCell ref="I155:I158"/>
    <mergeCell ref="C110:E110"/>
    <mergeCell ref="C111:E111"/>
    <mergeCell ref="C112:E112"/>
    <mergeCell ref="C115:E115"/>
    <mergeCell ref="C116:E116"/>
    <mergeCell ref="C117:E117"/>
    <mergeCell ref="C118:E118"/>
    <mergeCell ref="C119:E119"/>
    <mergeCell ref="C113:E113"/>
    <mergeCell ref="C114:E114"/>
    <mergeCell ref="H116:I116"/>
    <mergeCell ref="A154:O154"/>
    <mergeCell ref="G151:O153"/>
    <mergeCell ref="B146:F146"/>
    <mergeCell ref="G144:K150"/>
    <mergeCell ref="C121:E121"/>
    <mergeCell ref="N116:O116"/>
    <mergeCell ref="N115:O115"/>
    <mergeCell ref="G57:H57"/>
    <mergeCell ref="G58:H58"/>
    <mergeCell ref="G59:H59"/>
    <mergeCell ref="G60:H60"/>
    <mergeCell ref="G61:H61"/>
    <mergeCell ref="G62:H62"/>
    <mergeCell ref="G63:H63"/>
    <mergeCell ref="H113:I113"/>
    <mergeCell ref="H114:I114"/>
    <mergeCell ref="F102:G102"/>
    <mergeCell ref="H102:I102"/>
    <mergeCell ref="F103:G103"/>
    <mergeCell ref="H103:I103"/>
    <mergeCell ref="F109:G109"/>
    <mergeCell ref="F110:G110"/>
    <mergeCell ref="F111:G111"/>
    <mergeCell ref="F112:G112"/>
    <mergeCell ref="F113:G113"/>
    <mergeCell ref="F114:G114"/>
    <mergeCell ref="H110:I110"/>
    <mergeCell ref="H111:I111"/>
    <mergeCell ref="H112:I112"/>
    <mergeCell ref="F104:G104"/>
    <mergeCell ref="H104:I104"/>
    <mergeCell ref="F105:G105"/>
    <mergeCell ref="B59:C59"/>
    <mergeCell ref="B60:C60"/>
    <mergeCell ref="B61:C61"/>
    <mergeCell ref="B62:C62"/>
    <mergeCell ref="B63:C63"/>
    <mergeCell ref="C106:E106"/>
    <mergeCell ref="C107:E107"/>
    <mergeCell ref="C108:E108"/>
    <mergeCell ref="B78:N78"/>
    <mergeCell ref="C102:E102"/>
    <mergeCell ref="N102:O102"/>
    <mergeCell ref="B70:N70"/>
    <mergeCell ref="B77:N77"/>
    <mergeCell ref="B71:M71"/>
    <mergeCell ref="B72:M72"/>
    <mergeCell ref="B73:M73"/>
    <mergeCell ref="B74:M74"/>
    <mergeCell ref="B75:M75"/>
    <mergeCell ref="C105:E105"/>
    <mergeCell ref="C104:E104"/>
    <mergeCell ref="C103:E103"/>
    <mergeCell ref="B93:N93"/>
    <mergeCell ref="B90:N90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N101:O101"/>
    <mergeCell ref="N100:O100"/>
    <mergeCell ref="B151:F151"/>
    <mergeCell ref="C109:E109"/>
    <mergeCell ref="C120:E120"/>
    <mergeCell ref="F115:G115"/>
    <mergeCell ref="F116:G116"/>
    <mergeCell ref="H115:I115"/>
    <mergeCell ref="F120:G120"/>
    <mergeCell ref="H117:I117"/>
    <mergeCell ref="H118:I118"/>
    <mergeCell ref="H119:I119"/>
    <mergeCell ref="H120:I120"/>
    <mergeCell ref="F117:G117"/>
    <mergeCell ref="F118:G118"/>
    <mergeCell ref="F119:G119"/>
    <mergeCell ref="L146:N146"/>
    <mergeCell ref="F121:G121"/>
    <mergeCell ref="H121:I121"/>
    <mergeCell ref="N104:O104"/>
    <mergeCell ref="N105:O105"/>
    <mergeCell ref="N106:O106"/>
    <mergeCell ref="N107:O107"/>
    <mergeCell ref="N108:O108"/>
  </mergeCells>
  <conditionalFormatting sqref="J39:J65">
    <cfRule type="expression" dxfId="9" priority="1">
      <formula>E39&lt;&gt;"Hourly"</formula>
    </cfRule>
  </conditionalFormatting>
  <dataValidations count="2">
    <dataValidation type="list" allowBlank="1" showInputMessage="1" showErrorMessage="1" sqref="E39:E65" xr:uid="{00000000-0002-0000-0200-000000000000}">
      <formula1>$B$12:$B$17</formula1>
    </dataValidation>
    <dataValidation type="list" allowBlank="1" showInputMessage="1" showErrorMessage="1" sqref="F39:F65" xr:uid="{00000000-0002-0000-0200-000001000000}">
      <formula1>INDIRECT(E39)</formula1>
    </dataValidation>
  </dataValidations>
  <printOptions horizontalCentered="1" verticalCentered="1"/>
  <pageMargins left="0.25" right="0.25" top="0.5" bottom="0.5" header="0" footer="0"/>
  <pageSetup scale="66" orientation="portrait" r:id="rId1"/>
  <headerFooter alignWithMargins="0">
    <oddFooter xml:space="preserve">&amp;R&amp;K000000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58"/>
  <sheetViews>
    <sheetView topLeftCell="A78" zoomScale="90" zoomScaleNormal="90" zoomScalePageLayoutView="85" workbookViewId="0">
      <selection activeCell="J101" sqref="J101"/>
    </sheetView>
  </sheetViews>
  <sheetFormatPr defaultColWidth="8.7109375" defaultRowHeight="12.75" x14ac:dyDescent="0.2"/>
  <cols>
    <col min="1" max="2" width="4.28515625" style="1" customWidth="1"/>
    <col min="3" max="3" width="23.7109375" style="1" customWidth="1"/>
    <col min="4" max="4" width="9.7109375" style="1" customWidth="1"/>
    <col min="5" max="5" width="14.7109375" style="1" customWidth="1"/>
    <col min="6" max="6" width="18.7109375" style="1" customWidth="1"/>
    <col min="7" max="7" width="13.85546875" style="1" customWidth="1"/>
    <col min="8" max="8" width="9" style="1" customWidth="1"/>
    <col min="9" max="9" width="8.7109375" style="1" customWidth="1"/>
    <col min="10" max="10" width="11.7109375" style="2" customWidth="1"/>
    <col min="11" max="11" width="21.140625" style="2" customWidth="1"/>
    <col min="12" max="13" width="12.7109375" style="1" customWidth="1"/>
    <col min="14" max="14" width="18" style="1" customWidth="1"/>
    <col min="15" max="15" width="17.28515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7109375" style="1"/>
  </cols>
  <sheetData>
    <row r="1" spans="1:18" s="3" customFormat="1" ht="22.15" customHeight="1" x14ac:dyDescent="0.2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126"/>
    </row>
    <row r="2" spans="1:18" s="3" customFormat="1" ht="35.25" customHeight="1" thickBot="1" x14ac:dyDescent="0.3">
      <c r="A2" s="512" t="s">
        <v>60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127"/>
    </row>
    <row r="3" spans="1:18" s="3" customFormat="1" ht="12" customHeight="1" x14ac:dyDescent="0.25">
      <c r="A3" s="514" t="s">
        <v>62</v>
      </c>
      <c r="B3" s="515"/>
      <c r="C3" s="515"/>
      <c r="D3" s="571">
        <f>'Per1'!D3</f>
        <v>0</v>
      </c>
      <c r="E3" s="571"/>
      <c r="F3" s="571"/>
      <c r="G3" s="349"/>
      <c r="H3" s="350"/>
      <c r="I3" s="351"/>
      <c r="J3" s="351"/>
      <c r="K3" s="460" t="s">
        <v>197</v>
      </c>
      <c r="L3" s="461"/>
      <c r="M3" s="516" t="s">
        <v>64</v>
      </c>
      <c r="N3" s="517"/>
      <c r="O3" s="518"/>
      <c r="P3" s="28"/>
      <c r="Q3" s="14" t="s">
        <v>66</v>
      </c>
    </row>
    <row r="4" spans="1:18" ht="18.600000000000001" customHeight="1" thickBot="1" x14ac:dyDescent="0.3">
      <c r="A4" s="483"/>
      <c r="B4" s="484"/>
      <c r="C4" s="484"/>
      <c r="D4" s="567"/>
      <c r="E4" s="567"/>
      <c r="F4" s="567"/>
      <c r="G4" s="352"/>
      <c r="H4" s="353"/>
      <c r="I4" s="353"/>
      <c r="J4" s="353"/>
      <c r="K4" s="462"/>
      <c r="L4" s="463"/>
      <c r="M4" s="519" t="s">
        <v>65</v>
      </c>
      <c r="N4" s="520"/>
      <c r="O4" s="521"/>
      <c r="P4" s="128"/>
      <c r="Q4" s="255" t="s">
        <v>71</v>
      </c>
    </row>
    <row r="5" spans="1:18" ht="13.15" customHeight="1" thickBot="1" x14ac:dyDescent="0.3">
      <c r="A5" s="483" t="s">
        <v>67</v>
      </c>
      <c r="B5" s="484"/>
      <c r="C5" s="484"/>
      <c r="D5" s="566">
        <f>'Per1'!D5</f>
        <v>0</v>
      </c>
      <c r="E5" s="566"/>
      <c r="F5" s="566"/>
      <c r="G5" s="169"/>
      <c r="H5" s="354"/>
      <c r="I5" s="354"/>
      <c r="J5" s="355"/>
      <c r="K5" s="459" t="s">
        <v>68</v>
      </c>
      <c r="L5" s="568">
        <f>'Per1'!L7+1</f>
        <v>45901</v>
      </c>
      <c r="M5" s="129"/>
      <c r="N5" s="130" t="s">
        <v>69</v>
      </c>
      <c r="O5" s="131" t="s">
        <v>70</v>
      </c>
      <c r="P5" s="132"/>
      <c r="Q5" s="14" t="s">
        <v>73</v>
      </c>
      <c r="R5" s="133"/>
    </row>
    <row r="6" spans="1:18" ht="15" customHeight="1" thickTop="1" x14ac:dyDescent="0.25">
      <c r="A6" s="483"/>
      <c r="B6" s="484"/>
      <c r="C6" s="484"/>
      <c r="D6" s="567"/>
      <c r="E6" s="567"/>
      <c r="F6" s="567"/>
      <c r="G6" s="352"/>
      <c r="H6" s="354"/>
      <c r="I6" s="354"/>
      <c r="J6" s="355"/>
      <c r="K6" s="459"/>
      <c r="L6" s="569"/>
      <c r="M6" s="134" t="s">
        <v>72</v>
      </c>
      <c r="N6" s="356">
        <v>1453.34</v>
      </c>
      <c r="O6" s="357">
        <v>726.68</v>
      </c>
      <c r="P6" s="135"/>
      <c r="Q6" s="1" t="s">
        <v>77</v>
      </c>
    </row>
    <row r="7" spans="1:18" ht="12" customHeight="1" x14ac:dyDescent="0.2">
      <c r="A7" s="483" t="s">
        <v>198</v>
      </c>
      <c r="B7" s="484"/>
      <c r="C7" s="484"/>
      <c r="D7" s="572">
        <f>'Per1'!D7</f>
        <v>0</v>
      </c>
      <c r="E7" s="572"/>
      <c r="F7" s="572"/>
      <c r="G7" s="572"/>
      <c r="H7" s="572"/>
      <c r="I7" s="572"/>
      <c r="J7" s="572"/>
      <c r="K7" s="459" t="s">
        <v>75</v>
      </c>
      <c r="L7" s="570">
        <f>EDATE(L5,12)-1</f>
        <v>46265</v>
      </c>
      <c r="M7" s="136" t="s">
        <v>76</v>
      </c>
      <c r="N7" s="358">
        <v>1041.9000000000001</v>
      </c>
      <c r="O7" s="359">
        <v>520.96</v>
      </c>
      <c r="P7" s="135"/>
    </row>
    <row r="8" spans="1:18" ht="12.75" customHeight="1" x14ac:dyDescent="0.2">
      <c r="A8" s="483"/>
      <c r="B8" s="484"/>
      <c r="C8" s="484"/>
      <c r="D8" s="572"/>
      <c r="E8" s="572"/>
      <c r="F8" s="572"/>
      <c r="G8" s="572"/>
      <c r="H8" s="572"/>
      <c r="I8" s="572"/>
      <c r="J8" s="572"/>
      <c r="K8" s="459"/>
      <c r="L8" s="569"/>
      <c r="M8" s="136" t="s">
        <v>78</v>
      </c>
      <c r="N8" s="358">
        <v>1189.2</v>
      </c>
      <c r="O8" s="359">
        <v>594.6</v>
      </c>
      <c r="P8" s="135"/>
    </row>
    <row r="9" spans="1:18" ht="12.75" customHeight="1" x14ac:dyDescent="0.25">
      <c r="A9" s="483"/>
      <c r="B9" s="484"/>
      <c r="C9" s="484"/>
      <c r="D9" s="572"/>
      <c r="E9" s="572"/>
      <c r="F9" s="572"/>
      <c r="G9" s="572"/>
      <c r="H9" s="572"/>
      <c r="I9" s="572"/>
      <c r="J9" s="572"/>
      <c r="K9" s="251"/>
      <c r="L9" s="252"/>
      <c r="M9" s="253" t="s">
        <v>79</v>
      </c>
      <c r="N9" s="360">
        <v>780.24</v>
      </c>
      <c r="O9" s="361">
        <v>390.12</v>
      </c>
      <c r="P9" s="135"/>
    </row>
    <row r="10" spans="1:18" ht="12" customHeight="1" thickBot="1" x14ac:dyDescent="0.3">
      <c r="A10" s="485"/>
      <c r="B10" s="486"/>
      <c r="C10" s="486"/>
      <c r="D10" s="573"/>
      <c r="E10" s="573"/>
      <c r="F10" s="573"/>
      <c r="G10" s="573"/>
      <c r="H10" s="573"/>
      <c r="I10" s="573"/>
      <c r="J10" s="573"/>
      <c r="K10" s="120"/>
      <c r="L10" s="26"/>
      <c r="M10" s="137" t="s">
        <v>80</v>
      </c>
      <c r="N10" s="362" t="s">
        <v>81</v>
      </c>
      <c r="O10" s="363">
        <v>746.09</v>
      </c>
      <c r="P10" s="135"/>
    </row>
    <row r="11" spans="1:18" ht="13.5" hidden="1" thickBot="1" x14ac:dyDescent="0.25">
      <c r="A11"/>
      <c r="B11" s="210"/>
      <c r="C11" s="210"/>
      <c r="D11" s="210"/>
      <c r="E11" s="279" t="s">
        <v>82</v>
      </c>
      <c r="F11" s="305" t="s">
        <v>83</v>
      </c>
      <c r="G11" s="306" t="s">
        <v>84</v>
      </c>
      <c r="H11" s="307" t="s">
        <v>85</v>
      </c>
      <c r="I11" s="211" t="s">
        <v>86</v>
      </c>
      <c r="J11" s="308" t="s">
        <v>87</v>
      </c>
      <c r="K11" s="210"/>
      <c r="L11" s="210"/>
      <c r="M11" s="210"/>
      <c r="N11" s="210" t="s">
        <v>88</v>
      </c>
      <c r="O11" s="138">
        <v>0</v>
      </c>
      <c r="P11" s="138"/>
    </row>
    <row r="12" spans="1:18" hidden="1" x14ac:dyDescent="0.2">
      <c r="A12"/>
      <c r="B12" s="279" t="s">
        <v>82</v>
      </c>
      <c r="C12" s="275">
        <f>1/900</f>
        <v>1.1111111111111111E-3</v>
      </c>
      <c r="D12" s="213"/>
      <c r="E12" s="287" t="s">
        <v>88</v>
      </c>
      <c r="F12" s="280" t="s">
        <v>88</v>
      </c>
      <c r="G12" s="297" t="s">
        <v>88</v>
      </c>
      <c r="H12" s="298" t="s">
        <v>88</v>
      </c>
      <c r="I12" s="210" t="s">
        <v>88</v>
      </c>
      <c r="J12" s="293" t="s">
        <v>88</v>
      </c>
      <c r="K12" s="279" t="str">
        <f>B12&amp;M6</f>
        <v>FT_BE_09Emp/Family</v>
      </c>
      <c r="L12" s="273">
        <f>N6</f>
        <v>1453.34</v>
      </c>
      <c r="M12" s="274">
        <v>0.18</v>
      </c>
      <c r="N12" s="275">
        <v>100</v>
      </c>
      <c r="O12" s="29"/>
    </row>
    <row r="13" spans="1:18" hidden="1" x14ac:dyDescent="0.2">
      <c r="A13"/>
      <c r="B13" s="283" t="s">
        <v>83</v>
      </c>
      <c r="C13" s="282">
        <f>1/1200</f>
        <v>8.3333333333333339E-4</v>
      </c>
      <c r="D13" s="213"/>
      <c r="E13" s="309" t="s">
        <v>72</v>
      </c>
      <c r="F13" s="300" t="s">
        <v>72</v>
      </c>
      <c r="G13" s="301" t="s">
        <v>72</v>
      </c>
      <c r="H13" s="298" t="s">
        <v>89</v>
      </c>
      <c r="I13" s="210"/>
      <c r="J13" s="293" t="s">
        <v>89</v>
      </c>
      <c r="K13" s="287" t="str">
        <f>B12&amp;M7</f>
        <v>FT_BE_09Emp/Child</v>
      </c>
      <c r="L13" s="294">
        <f>N7</f>
        <v>1041.9000000000001</v>
      </c>
      <c r="M13" s="277">
        <v>0.18</v>
      </c>
      <c r="N13" s="278">
        <v>100</v>
      </c>
      <c r="O13" s="29"/>
    </row>
    <row r="14" spans="1:18" hidden="1" x14ac:dyDescent="0.2">
      <c r="A14"/>
      <c r="B14" s="284" t="s">
        <v>84</v>
      </c>
      <c r="C14" s="286">
        <f>1/1200</f>
        <v>8.3333333333333339E-4</v>
      </c>
      <c r="D14" s="213"/>
      <c r="E14" s="309" t="s">
        <v>76</v>
      </c>
      <c r="F14" s="300" t="s">
        <v>76</v>
      </c>
      <c r="G14" s="301" t="s">
        <v>76</v>
      </c>
      <c r="H14" s="298"/>
      <c r="I14" s="210"/>
      <c r="J14" s="293"/>
      <c r="K14" s="287" t="str">
        <f>B12&amp;M8</f>
        <v>FT_BE_09Emp/Spouse</v>
      </c>
      <c r="L14" s="294">
        <f>N8</f>
        <v>1189.2</v>
      </c>
      <c r="M14" s="277">
        <v>0.18</v>
      </c>
      <c r="N14" s="278">
        <v>100</v>
      </c>
      <c r="O14" s="29"/>
    </row>
    <row r="15" spans="1:18" hidden="1" x14ac:dyDescent="0.2">
      <c r="A15"/>
      <c r="B15" s="288" t="s">
        <v>85</v>
      </c>
      <c r="C15" s="290">
        <f>1/1200</f>
        <v>8.3333333333333339E-4</v>
      </c>
      <c r="D15" s="213"/>
      <c r="E15" s="309" t="s">
        <v>78</v>
      </c>
      <c r="F15" s="300" t="s">
        <v>78</v>
      </c>
      <c r="G15" s="301" t="s">
        <v>78</v>
      </c>
      <c r="H15" s="298"/>
      <c r="I15" s="210"/>
      <c r="J15" s="293"/>
      <c r="K15" s="287" t="str">
        <f>B12&amp;M9</f>
        <v>FT_BE_09Emp Only</v>
      </c>
      <c r="L15" s="294">
        <f>N9</f>
        <v>780.24</v>
      </c>
      <c r="M15" s="277">
        <v>0.18</v>
      </c>
      <c r="N15" s="278">
        <v>100</v>
      </c>
      <c r="O15" s="29"/>
    </row>
    <row r="16" spans="1:18" hidden="1" x14ac:dyDescent="0.2">
      <c r="A16"/>
      <c r="B16" s="291" t="s">
        <v>87</v>
      </c>
      <c r="C16" s="293">
        <v>1</v>
      </c>
      <c r="D16" s="213"/>
      <c r="E16" s="310" t="s">
        <v>79</v>
      </c>
      <c r="F16" s="302" t="s">
        <v>79</v>
      </c>
      <c r="G16" s="303" t="s">
        <v>79</v>
      </c>
      <c r="H16" s="304"/>
      <c r="I16" s="29"/>
      <c r="J16" s="311"/>
      <c r="K16" s="283" t="str">
        <f>B13&amp;M6</f>
        <v>FT_BE_12Emp/Family</v>
      </c>
      <c r="L16" s="295">
        <f>N6</f>
        <v>1453.34</v>
      </c>
      <c r="M16" s="281">
        <v>0.18</v>
      </c>
      <c r="N16" s="282">
        <v>100</v>
      </c>
      <c r="O16" s="29"/>
    </row>
    <row r="17" spans="1:15" ht="13.5" hidden="1" thickBot="1" x14ac:dyDescent="0.25">
      <c r="A17"/>
      <c r="B17" s="215" t="s">
        <v>86</v>
      </c>
      <c r="C17" s="216">
        <v>0</v>
      </c>
      <c r="D17" s="213"/>
      <c r="E17" s="287" t="s">
        <v>89</v>
      </c>
      <c r="F17" s="300" t="s">
        <v>89</v>
      </c>
      <c r="G17" s="301" t="s">
        <v>80</v>
      </c>
      <c r="H17" s="298"/>
      <c r="I17" s="210"/>
      <c r="J17" s="293"/>
      <c r="K17" s="283" t="str">
        <f>B13&amp;M7</f>
        <v>FT_BE_12Emp/Child</v>
      </c>
      <c r="L17" s="295">
        <f t="shared" ref="L17:L19" si="0">N7</f>
        <v>1041.9000000000001</v>
      </c>
      <c r="M17" s="281">
        <v>0.18</v>
      </c>
      <c r="N17" s="282">
        <v>100</v>
      </c>
      <c r="O17" s="29"/>
    </row>
    <row r="18" spans="1:15" ht="13.5" hidden="1" thickBot="1" x14ac:dyDescent="0.25">
      <c r="A18"/>
      <c r="B18" s="210"/>
      <c r="C18" s="210"/>
      <c r="D18" s="210"/>
      <c r="E18" s="312"/>
      <c r="F18" s="313"/>
      <c r="G18" s="314" t="s">
        <v>89</v>
      </c>
      <c r="H18" s="315"/>
      <c r="I18" s="217"/>
      <c r="J18" s="316"/>
      <c r="K18" s="283" t="str">
        <f>B13&amp;M8</f>
        <v>FT_BE_12Emp/Spouse</v>
      </c>
      <c r="L18" s="295">
        <f t="shared" si="0"/>
        <v>1189.2</v>
      </c>
      <c r="M18" s="281">
        <v>0.18</v>
      </c>
      <c r="N18" s="282">
        <v>100</v>
      </c>
      <c r="O18" s="29"/>
    </row>
    <row r="19" spans="1:15" hidden="1" x14ac:dyDescent="0.2">
      <c r="A19"/>
      <c r="B19" s="210"/>
      <c r="C19" s="210"/>
      <c r="D19" s="210"/>
      <c r="E19" s="210"/>
      <c r="F19" s="210"/>
      <c r="G19" s="210"/>
      <c r="H19" s="210"/>
      <c r="I19" s="210"/>
      <c r="J19" s="210"/>
      <c r="K19" s="283" t="str">
        <f>B13&amp;M9</f>
        <v>FT_BE_12Emp Only</v>
      </c>
      <c r="L19" s="295">
        <f t="shared" si="0"/>
        <v>780.24</v>
      </c>
      <c r="M19" s="281">
        <v>0.18</v>
      </c>
      <c r="N19" s="282">
        <v>100</v>
      </c>
      <c r="O19" s="29"/>
    </row>
    <row r="20" spans="1:15" hidden="1" x14ac:dyDescent="0.2">
      <c r="A20"/>
      <c r="B20" s="210"/>
      <c r="C20" s="210"/>
      <c r="D20" s="210"/>
      <c r="E20" s="210"/>
      <c r="F20" s="210"/>
      <c r="G20" s="210"/>
      <c r="H20" s="210"/>
      <c r="I20" s="210"/>
      <c r="J20" s="210"/>
      <c r="K20" s="283" t="str">
        <f>B13&amp;F17</f>
        <v>FT_BE_12None</v>
      </c>
      <c r="L20" s="295">
        <v>0</v>
      </c>
      <c r="M20" s="281">
        <v>0.18</v>
      </c>
      <c r="N20" s="282">
        <v>0</v>
      </c>
      <c r="O20" s="29"/>
    </row>
    <row r="21" spans="1:15" hidden="1" x14ac:dyDescent="0.2">
      <c r="A21"/>
      <c r="B21" s="210"/>
      <c r="C21" s="210"/>
      <c r="D21" s="210"/>
      <c r="E21" s="210"/>
      <c r="F21" s="210"/>
      <c r="G21" s="210"/>
      <c r="H21" s="210"/>
      <c r="I21" s="210"/>
      <c r="J21" s="210"/>
      <c r="K21" s="284" t="str">
        <f>B14&amp;M6</f>
        <v>PT_BE_12Emp/Family</v>
      </c>
      <c r="L21" s="296">
        <f>N6</f>
        <v>1453.34</v>
      </c>
      <c r="M21" s="285">
        <v>0.18</v>
      </c>
      <c r="N21" s="286">
        <v>50</v>
      </c>
      <c r="O21" s="29"/>
    </row>
    <row r="22" spans="1:15" hidden="1" x14ac:dyDescent="0.2">
      <c r="A22"/>
      <c r="B22" s="210"/>
      <c r="C22" s="210"/>
      <c r="D22" s="210"/>
      <c r="E22" s="210"/>
      <c r="F22" s="210"/>
      <c r="G22" s="210"/>
      <c r="H22" s="210"/>
      <c r="I22" s="210"/>
      <c r="J22" s="210"/>
      <c r="K22" s="284" t="str">
        <f>B14&amp;M7</f>
        <v>PT_BE_12Emp/Child</v>
      </c>
      <c r="L22" s="296">
        <f t="shared" ref="L22:L24" si="1">N7</f>
        <v>1041.9000000000001</v>
      </c>
      <c r="M22" s="285">
        <v>0.18</v>
      </c>
      <c r="N22" s="286">
        <v>50</v>
      </c>
      <c r="O22" s="29"/>
    </row>
    <row r="23" spans="1:15" hidden="1" x14ac:dyDescent="0.2">
      <c r="A23"/>
      <c r="B23" s="210"/>
      <c r="C23" s="210"/>
      <c r="D23" s="210"/>
      <c r="E23" s="210"/>
      <c r="F23" s="210"/>
      <c r="G23" s="210"/>
      <c r="H23" s="210"/>
      <c r="I23" s="210"/>
      <c r="J23" s="210"/>
      <c r="K23" s="284" t="str">
        <f>B14&amp;M8</f>
        <v>PT_BE_12Emp/Spouse</v>
      </c>
      <c r="L23" s="296">
        <f t="shared" si="1"/>
        <v>1189.2</v>
      </c>
      <c r="M23" s="285">
        <v>0.18</v>
      </c>
      <c r="N23" s="286">
        <v>50</v>
      </c>
      <c r="O23" s="29"/>
    </row>
    <row r="24" spans="1:15" hidden="1" x14ac:dyDescent="0.2">
      <c r="A24"/>
      <c r="B24" s="210"/>
      <c r="C24" s="210"/>
      <c r="D24" s="210"/>
      <c r="E24" s="210"/>
      <c r="F24" s="210"/>
      <c r="G24" s="210"/>
      <c r="H24" s="210"/>
      <c r="I24" s="210"/>
      <c r="J24" s="210"/>
      <c r="K24" s="284" t="str">
        <f>B14&amp;M9</f>
        <v>PT_BE_12Emp Only</v>
      </c>
      <c r="L24" s="296">
        <f t="shared" si="1"/>
        <v>780.24</v>
      </c>
      <c r="M24" s="285">
        <v>0.18</v>
      </c>
      <c r="N24" s="286">
        <v>50</v>
      </c>
      <c r="O24" s="29"/>
    </row>
    <row r="25" spans="1:15" hidden="1" x14ac:dyDescent="0.2">
      <c r="A25"/>
      <c r="B25" s="210"/>
      <c r="C25" s="210"/>
      <c r="D25" s="210"/>
      <c r="E25" s="210"/>
      <c r="F25" s="210"/>
      <c r="G25" s="210"/>
      <c r="H25" s="210"/>
      <c r="I25" s="210"/>
      <c r="J25" s="210"/>
      <c r="K25" s="284" t="str">
        <f>B14&amp;G17</f>
        <v>PT_BE_12Grad Res Asst</v>
      </c>
      <c r="L25" s="296">
        <f>O10</f>
        <v>746.09</v>
      </c>
      <c r="M25" s="285">
        <v>0.08</v>
      </c>
      <c r="N25" s="286">
        <v>100</v>
      </c>
      <c r="O25" s="29"/>
    </row>
    <row r="26" spans="1:15" hidden="1" x14ac:dyDescent="0.2">
      <c r="A26"/>
      <c r="B26" s="210"/>
      <c r="C26" s="210"/>
      <c r="D26" s="210"/>
      <c r="E26" s="210"/>
      <c r="F26" s="210"/>
      <c r="G26" s="210"/>
      <c r="H26" s="210"/>
      <c r="I26" s="210"/>
      <c r="J26" s="210"/>
      <c r="K26" s="284" t="str">
        <f>B14&amp;G18</f>
        <v>PT_BE_12None</v>
      </c>
      <c r="L26" s="296">
        <v>0</v>
      </c>
      <c r="M26" s="285">
        <v>0.08</v>
      </c>
      <c r="N26" s="286">
        <v>0</v>
      </c>
      <c r="O26" s="29"/>
    </row>
    <row r="27" spans="1:15" hidden="1" x14ac:dyDescent="0.2">
      <c r="A27"/>
      <c r="B27" s="210"/>
      <c r="C27" s="210"/>
      <c r="D27" s="210"/>
      <c r="E27" s="210"/>
      <c r="F27" s="210"/>
      <c r="G27" s="210"/>
      <c r="H27" s="210"/>
      <c r="I27" s="210"/>
      <c r="J27" s="210"/>
      <c r="K27" s="284" t="str">
        <f>B14&amp;G12</f>
        <v>PT_BE_12Select One</v>
      </c>
      <c r="L27" s="297">
        <v>0</v>
      </c>
      <c r="M27" s="285">
        <v>0</v>
      </c>
      <c r="N27" s="286">
        <v>0</v>
      </c>
      <c r="O27" s="29"/>
    </row>
    <row r="28" spans="1:15" hidden="1" x14ac:dyDescent="0.2">
      <c r="A28"/>
      <c r="B28" s="210"/>
      <c r="C28" s="210"/>
      <c r="D28" s="210"/>
      <c r="E28" s="210"/>
      <c r="F28" s="210"/>
      <c r="G28" s="210"/>
      <c r="H28" s="210"/>
      <c r="I28" s="210"/>
      <c r="J28" s="210"/>
      <c r="K28" s="288" t="str">
        <f>B15&amp;H13</f>
        <v>PT_NB_12None</v>
      </c>
      <c r="L28" s="298">
        <v>0</v>
      </c>
      <c r="M28" s="289">
        <v>0.08</v>
      </c>
      <c r="N28" s="290">
        <v>0</v>
      </c>
      <c r="O28" s="29"/>
    </row>
    <row r="29" spans="1:15" hidden="1" x14ac:dyDescent="0.2">
      <c r="A29"/>
      <c r="B29" s="210"/>
      <c r="C29" s="210"/>
      <c r="D29" s="210"/>
      <c r="E29" s="210"/>
      <c r="F29" s="210"/>
      <c r="G29" s="210"/>
      <c r="H29" s="210"/>
      <c r="I29" s="210"/>
      <c r="J29" s="210"/>
      <c r="K29" s="291" t="str">
        <f>B16&amp;J13</f>
        <v>HourlyNone</v>
      </c>
      <c r="L29" s="299">
        <v>0</v>
      </c>
      <c r="M29" s="292">
        <v>0.08</v>
      </c>
      <c r="N29" s="293">
        <v>0</v>
      </c>
      <c r="O29" s="29"/>
    </row>
    <row r="30" spans="1:15" hidden="1" x14ac:dyDescent="0.2">
      <c r="A30"/>
      <c r="B30" s="210"/>
      <c r="C30" s="210"/>
      <c r="D30" s="210"/>
      <c r="E30" s="210"/>
      <c r="F30" s="210"/>
      <c r="G30" s="210"/>
      <c r="H30" s="210"/>
      <c r="I30" s="210"/>
      <c r="J30" s="210"/>
      <c r="K30" s="287" t="str">
        <f>B12&amp;E12</f>
        <v>FT_BE_09Select One</v>
      </c>
      <c r="L30" s="276">
        <v>0</v>
      </c>
      <c r="M30" s="277">
        <v>0</v>
      </c>
      <c r="N30" s="278">
        <v>0</v>
      </c>
      <c r="O30" s="29"/>
    </row>
    <row r="31" spans="1:15" hidden="1" x14ac:dyDescent="0.2">
      <c r="A31"/>
      <c r="B31" s="210"/>
      <c r="C31" s="210"/>
      <c r="D31" s="210"/>
      <c r="E31" s="210"/>
      <c r="F31" s="210"/>
      <c r="G31" s="210"/>
      <c r="H31" s="210"/>
      <c r="I31" s="210"/>
      <c r="J31" s="210"/>
      <c r="K31" s="283" t="str">
        <f>B13&amp;F12</f>
        <v>FT_BE_12Select One</v>
      </c>
      <c r="L31" s="280">
        <v>0</v>
      </c>
      <c r="M31" s="281">
        <v>0</v>
      </c>
      <c r="N31" s="282">
        <v>0</v>
      </c>
      <c r="O31" s="29"/>
    </row>
    <row r="32" spans="1:15" hidden="1" x14ac:dyDescent="0.2">
      <c r="A32"/>
      <c r="B32" s="210"/>
      <c r="C32" s="210"/>
      <c r="D32" s="210"/>
      <c r="E32" s="210"/>
      <c r="F32" s="210"/>
      <c r="G32" s="210"/>
      <c r="H32" s="210"/>
      <c r="I32" s="210"/>
      <c r="J32" s="210"/>
      <c r="K32" s="287" t="str">
        <f>B12&amp;E17</f>
        <v>FT_BE_09None</v>
      </c>
      <c r="L32" s="276">
        <v>0</v>
      </c>
      <c r="M32" s="277">
        <v>0.18</v>
      </c>
      <c r="N32" s="278">
        <v>0</v>
      </c>
      <c r="O32" s="29"/>
    </row>
    <row r="33" spans="1:19" hidden="1" x14ac:dyDescent="0.2">
      <c r="A33"/>
      <c r="B33" s="210"/>
      <c r="C33" s="210"/>
      <c r="D33" s="210"/>
      <c r="E33" s="210"/>
      <c r="F33" s="210"/>
      <c r="G33" s="210"/>
      <c r="H33" s="210"/>
      <c r="I33" s="210"/>
      <c r="J33" s="210"/>
      <c r="K33" s="288" t="str">
        <f>B15&amp;H12</f>
        <v>PT_NB_12Select One</v>
      </c>
      <c r="L33" s="298">
        <v>0</v>
      </c>
      <c r="M33" s="289">
        <v>0</v>
      </c>
      <c r="N33" s="290">
        <v>0</v>
      </c>
      <c r="O33" s="29"/>
    </row>
    <row r="34" spans="1:19" hidden="1" x14ac:dyDescent="0.2">
      <c r="A34"/>
      <c r="B34" s="210"/>
      <c r="C34" s="210"/>
      <c r="D34" s="210"/>
      <c r="E34" s="210"/>
      <c r="F34" s="210"/>
      <c r="G34" s="210"/>
      <c r="H34" s="210"/>
      <c r="I34" s="210"/>
      <c r="J34" s="210"/>
      <c r="K34" s="291" t="str">
        <f>B16&amp;J12</f>
        <v>HourlySelect One</v>
      </c>
      <c r="L34" s="299">
        <v>0</v>
      </c>
      <c r="M34" s="292">
        <v>0</v>
      </c>
      <c r="N34" s="293">
        <v>0</v>
      </c>
      <c r="O34" s="29"/>
    </row>
    <row r="35" spans="1:19" ht="13.5" hidden="1" thickBot="1" x14ac:dyDescent="0.25">
      <c r="A35"/>
      <c r="B35" s="210"/>
      <c r="C35" s="210"/>
      <c r="D35" s="210"/>
      <c r="E35" s="210"/>
      <c r="F35" s="210"/>
      <c r="G35" s="210"/>
      <c r="H35" s="210"/>
      <c r="I35" s="210"/>
      <c r="J35" s="210"/>
      <c r="K35" s="215" t="str">
        <f>B17&amp;I12</f>
        <v>SelectSelect One</v>
      </c>
      <c r="L35" s="217"/>
      <c r="M35" s="317"/>
      <c r="N35" s="216"/>
      <c r="O35" s="29"/>
    </row>
    <row r="36" spans="1:19" ht="18" customHeight="1" thickBot="1" x14ac:dyDescent="0.25">
      <c r="A36" s="490"/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</row>
    <row r="37" spans="1:19" ht="13.5" customHeight="1" x14ac:dyDescent="0.2">
      <c r="A37" s="414" t="s">
        <v>90</v>
      </c>
      <c r="B37" s="494" t="s">
        <v>91</v>
      </c>
      <c r="C37" s="495"/>
      <c r="D37" s="495"/>
      <c r="E37" s="495"/>
      <c r="F37" s="495"/>
      <c r="G37" s="495"/>
      <c r="H37" s="495"/>
      <c r="I37" s="495"/>
      <c r="J37" s="495"/>
      <c r="K37" s="496" t="s">
        <v>92</v>
      </c>
      <c r="L37" s="497"/>
      <c r="M37" s="324">
        <f>SUM(M39:M65)</f>
        <v>0</v>
      </c>
      <c r="N37" s="324">
        <f>SUM(N39:N65)</f>
        <v>0</v>
      </c>
      <c r="O37" s="325">
        <f>SUM(O39:O65)</f>
        <v>0</v>
      </c>
    </row>
    <row r="38" spans="1:19" ht="41.45" customHeight="1" x14ac:dyDescent="0.2">
      <c r="A38" s="415"/>
      <c r="B38" s="491" t="s">
        <v>93</v>
      </c>
      <c r="C38" s="491"/>
      <c r="D38" s="34" t="s">
        <v>94</v>
      </c>
      <c r="E38" s="34" t="s">
        <v>95</v>
      </c>
      <c r="F38" s="140" t="s">
        <v>96</v>
      </c>
      <c r="G38" s="492" t="s">
        <v>97</v>
      </c>
      <c r="H38" s="493"/>
      <c r="I38" s="34" t="s">
        <v>98</v>
      </c>
      <c r="J38" s="34" t="s">
        <v>99</v>
      </c>
      <c r="K38" s="34" t="s">
        <v>100</v>
      </c>
      <c r="L38" s="34" t="s">
        <v>101</v>
      </c>
      <c r="M38" s="34" t="s">
        <v>102</v>
      </c>
      <c r="N38" s="34" t="s">
        <v>103</v>
      </c>
      <c r="O38" s="141" t="s">
        <v>104</v>
      </c>
      <c r="P38" s="142"/>
      <c r="S38" s="5"/>
    </row>
    <row r="39" spans="1:19" ht="13.5" customHeight="1" x14ac:dyDescent="0.2">
      <c r="A39" s="415"/>
      <c r="B39" s="383" t="str">
        <f>IF('Per1'!B39&lt;&gt;"",'Per1'!B39,"")</f>
        <v/>
      </c>
      <c r="C39" s="383"/>
      <c r="D39" s="60" t="str">
        <f>IF('Per1'!D39&lt;&gt;"",'Per1'!D39,"")</f>
        <v/>
      </c>
      <c r="E39" s="143" t="str">
        <f>'Per1'!E39</f>
        <v>Select</v>
      </c>
      <c r="F39" s="144" t="str">
        <f>'Per1'!F39</f>
        <v>Select One</v>
      </c>
      <c r="G39" s="481">
        <f>IF(E39="Hourly",ROUND('Per1'!G39*1.03,2),ROUND('Per1'!G39*1.03,0))</f>
        <v>0</v>
      </c>
      <c r="H39" s="482"/>
      <c r="I39" s="6"/>
      <c r="J39" s="27"/>
      <c r="K39" s="209">
        <f>IF(E39="Hourly",I39*J39/173.33,I39*J39/100)</f>
        <v>0</v>
      </c>
      <c r="L39" s="7" t="str">
        <f t="shared" ref="L39:L65" si="2">IF(M39&lt;&gt;0,SUM(N39/M39),"-")</f>
        <v>-</v>
      </c>
      <c r="M39" s="19">
        <f t="shared" ref="M39:M65" si="3">ROUND((G39*I39*J39*VLOOKUP(E39,$B$12:$C$17,2,FALSE)),0)</f>
        <v>0</v>
      </c>
      <c r="N39" s="19">
        <f t="shared" ref="N39:N65" si="4">ROUND(M39*VLOOKUP(E39&amp;F39,$K$12:$N$35,3,FALSE)+VLOOKUP(E39&amp;F39,$K$12:$N$35,2,FALSE)*MIN(J39,VLOOKUP(E39&amp;F39,$K$12:$N$35,4,FALSE))*I39/100,0)</f>
        <v>0</v>
      </c>
      <c r="O39" s="8">
        <f t="shared" ref="O39" si="5">M39+N39</f>
        <v>0</v>
      </c>
      <c r="P39" s="145"/>
      <c r="Q39" s="14" t="s">
        <v>105</v>
      </c>
      <c r="S39" s="133"/>
    </row>
    <row r="40" spans="1:19" ht="13.5" customHeight="1" x14ac:dyDescent="0.2">
      <c r="A40" s="415"/>
      <c r="B40" s="383" t="str">
        <f>IF('Per1'!B40&lt;&gt;"",'Per1'!B40,"")</f>
        <v/>
      </c>
      <c r="C40" s="383"/>
      <c r="D40" s="60" t="str">
        <f>IF('Per1'!D40&lt;&gt;"",'Per1'!D40,"")</f>
        <v/>
      </c>
      <c r="E40" s="143" t="str">
        <f>'Per1'!E40</f>
        <v>Select</v>
      </c>
      <c r="F40" s="144" t="str">
        <f>'Per1'!F40</f>
        <v>Select One</v>
      </c>
      <c r="G40" s="481">
        <f>IF(E40="Hourly",ROUND('Per1'!G40*1.03,2),ROUND('Per1'!G40*1.03,0))</f>
        <v>0</v>
      </c>
      <c r="H40" s="482"/>
      <c r="I40" s="6"/>
      <c r="J40" s="27"/>
      <c r="K40" s="209">
        <f t="shared" ref="K40:K65" si="6">IF(E40="Hourly",I40*J40/173.33,I40*J40/100)</f>
        <v>0</v>
      </c>
      <c r="L40" s="7" t="str">
        <f t="shared" si="2"/>
        <v>-</v>
      </c>
      <c r="M40" s="19">
        <f t="shared" si="3"/>
        <v>0</v>
      </c>
      <c r="N40" s="19">
        <f t="shared" si="4"/>
        <v>0</v>
      </c>
      <c r="O40" s="8">
        <f t="shared" ref="O40:O65" si="7">M40+N40</f>
        <v>0</v>
      </c>
      <c r="P40" s="30"/>
      <c r="Q40" s="14" t="s">
        <v>106</v>
      </c>
      <c r="S40" s="133"/>
    </row>
    <row r="41" spans="1:19" ht="13.5" customHeight="1" x14ac:dyDescent="0.2">
      <c r="A41" s="415"/>
      <c r="B41" s="383" t="str">
        <f>IF('Per1'!B41&lt;&gt;"",'Per1'!B41,"")</f>
        <v/>
      </c>
      <c r="C41" s="383"/>
      <c r="D41" s="60" t="str">
        <f>IF('Per1'!D41&lt;&gt;"",'Per1'!D41,"")</f>
        <v/>
      </c>
      <c r="E41" s="143" t="str">
        <f>'Per1'!E41</f>
        <v>Select</v>
      </c>
      <c r="F41" s="144" t="str">
        <f>'Per1'!F41</f>
        <v>Select One</v>
      </c>
      <c r="G41" s="481">
        <f>IF(E41="Hourly",ROUND('Per1'!G41*1.03,2),ROUND('Per1'!G41*1.03,0))</f>
        <v>0</v>
      </c>
      <c r="H41" s="482"/>
      <c r="I41" s="6"/>
      <c r="J41" s="27"/>
      <c r="K41" s="209">
        <f t="shared" si="6"/>
        <v>0</v>
      </c>
      <c r="L41" s="7" t="str">
        <f t="shared" si="2"/>
        <v>-</v>
      </c>
      <c r="M41" s="19">
        <f t="shared" si="3"/>
        <v>0</v>
      </c>
      <c r="N41" s="19">
        <f t="shared" si="4"/>
        <v>0</v>
      </c>
      <c r="O41" s="8">
        <f t="shared" si="7"/>
        <v>0</v>
      </c>
      <c r="P41" s="30"/>
      <c r="Q41" s="14" t="s">
        <v>107</v>
      </c>
      <c r="S41" s="133"/>
    </row>
    <row r="42" spans="1:19" ht="13.5" customHeight="1" x14ac:dyDescent="0.2">
      <c r="A42" s="415"/>
      <c r="B42" s="383" t="str">
        <f>IF('Per1'!B42&lt;&gt;"",'Per1'!B42,"")</f>
        <v/>
      </c>
      <c r="C42" s="383"/>
      <c r="D42" s="60" t="str">
        <f>IF('Per1'!D42&lt;&gt;"",'Per1'!D42,"")</f>
        <v/>
      </c>
      <c r="E42" s="143" t="str">
        <f>'Per1'!E42</f>
        <v>Select</v>
      </c>
      <c r="F42" s="144" t="str">
        <f>'Per1'!F42</f>
        <v>Select One</v>
      </c>
      <c r="G42" s="481">
        <f>IF(E42="Hourly",ROUND('Per1'!G42*1.03,2),ROUND('Per1'!G42*1.03,0))</f>
        <v>0</v>
      </c>
      <c r="H42" s="482"/>
      <c r="I42" s="6"/>
      <c r="J42" s="27"/>
      <c r="K42" s="209">
        <f t="shared" si="6"/>
        <v>0</v>
      </c>
      <c r="L42" s="7" t="str">
        <f t="shared" si="2"/>
        <v>-</v>
      </c>
      <c r="M42" s="19">
        <f t="shared" si="3"/>
        <v>0</v>
      </c>
      <c r="N42" s="19">
        <f t="shared" si="4"/>
        <v>0</v>
      </c>
      <c r="O42" s="8">
        <f t="shared" si="7"/>
        <v>0</v>
      </c>
      <c r="P42" s="30"/>
      <c r="Q42" s="14" t="s">
        <v>108</v>
      </c>
      <c r="S42" s="133"/>
    </row>
    <row r="43" spans="1:19" ht="13.5" customHeight="1" x14ac:dyDescent="0.2">
      <c r="A43" s="415"/>
      <c r="B43" s="383" t="str">
        <f>IF('Per1'!B43&lt;&gt;"",'Per1'!B43,"")</f>
        <v/>
      </c>
      <c r="C43" s="383"/>
      <c r="D43" s="60" t="str">
        <f>IF('Per1'!D43&lt;&gt;"",'Per1'!D43,"")</f>
        <v/>
      </c>
      <c r="E43" s="143" t="str">
        <f>'Per1'!E43</f>
        <v>Select</v>
      </c>
      <c r="F43" s="144" t="str">
        <f>'Per1'!F43</f>
        <v>Select One</v>
      </c>
      <c r="G43" s="481">
        <f>IF(E43="Hourly",ROUND('Per1'!G43*1.03,2),ROUND('Per1'!G43*1.03,0))</f>
        <v>0</v>
      </c>
      <c r="H43" s="482"/>
      <c r="I43" s="6"/>
      <c r="J43" s="27"/>
      <c r="K43" s="209">
        <f t="shared" si="6"/>
        <v>0</v>
      </c>
      <c r="L43" s="7" t="str">
        <f t="shared" si="2"/>
        <v>-</v>
      </c>
      <c r="M43" s="19">
        <f t="shared" si="3"/>
        <v>0</v>
      </c>
      <c r="N43" s="19">
        <f t="shared" si="4"/>
        <v>0</v>
      </c>
      <c r="O43" s="8">
        <f t="shared" si="7"/>
        <v>0</v>
      </c>
      <c r="P43" s="30"/>
      <c r="Q43" s="14" t="s">
        <v>109</v>
      </c>
      <c r="S43" s="133"/>
    </row>
    <row r="44" spans="1:19" ht="13.5" customHeight="1" x14ac:dyDescent="0.2">
      <c r="A44" s="415"/>
      <c r="B44" s="383" t="str">
        <f>IF('Per1'!B44&lt;&gt;"",'Per1'!B44,"")</f>
        <v/>
      </c>
      <c r="C44" s="383"/>
      <c r="D44" s="60" t="str">
        <f>IF('Per1'!D44&lt;&gt;"",'Per1'!D44,"")</f>
        <v/>
      </c>
      <c r="E44" s="143" t="str">
        <f>'Per1'!E44</f>
        <v>Select</v>
      </c>
      <c r="F44" s="144" t="str">
        <f>'Per1'!F44</f>
        <v>Select One</v>
      </c>
      <c r="G44" s="481">
        <f>IF(E44="Hourly",ROUND('Per1'!G44*1.03,2),ROUND('Per1'!G44*1.03,0))</f>
        <v>0</v>
      </c>
      <c r="H44" s="482"/>
      <c r="I44" s="6"/>
      <c r="J44" s="27"/>
      <c r="K44" s="209">
        <f t="shared" si="6"/>
        <v>0</v>
      </c>
      <c r="L44" s="7" t="str">
        <f t="shared" si="2"/>
        <v>-</v>
      </c>
      <c r="M44" s="19">
        <f t="shared" si="3"/>
        <v>0</v>
      </c>
      <c r="N44" s="19">
        <f t="shared" si="4"/>
        <v>0</v>
      </c>
      <c r="O44" s="8">
        <f t="shared" si="7"/>
        <v>0</v>
      </c>
      <c r="P44" s="30"/>
      <c r="Q44" s="14" t="s">
        <v>110</v>
      </c>
      <c r="S44" s="146"/>
    </row>
    <row r="45" spans="1:19" ht="13.5" customHeight="1" x14ac:dyDescent="0.2">
      <c r="A45" s="415"/>
      <c r="B45" s="383" t="str">
        <f>IF('Per1'!B45&lt;&gt;"",'Per1'!B45,"")</f>
        <v/>
      </c>
      <c r="C45" s="383"/>
      <c r="D45" s="60" t="str">
        <f>IF('Per1'!D45&lt;&gt;"",'Per1'!D45,"")</f>
        <v/>
      </c>
      <c r="E45" s="143" t="str">
        <f>'Per1'!E45</f>
        <v>Select</v>
      </c>
      <c r="F45" s="144" t="str">
        <f>'Per1'!F45</f>
        <v>Select One</v>
      </c>
      <c r="G45" s="481">
        <f>IF(E45="Hourly",ROUND('Per1'!G45*1.03,2),ROUND('Per1'!G45*1.03,0))</f>
        <v>0</v>
      </c>
      <c r="H45" s="482"/>
      <c r="I45" s="6"/>
      <c r="J45" s="27"/>
      <c r="K45" s="209">
        <f t="shared" si="6"/>
        <v>0</v>
      </c>
      <c r="L45" s="7" t="str">
        <f t="shared" si="2"/>
        <v>-</v>
      </c>
      <c r="M45" s="19">
        <f t="shared" si="3"/>
        <v>0</v>
      </c>
      <c r="N45" s="19">
        <f t="shared" si="4"/>
        <v>0</v>
      </c>
      <c r="O45" s="8">
        <f t="shared" si="7"/>
        <v>0</v>
      </c>
      <c r="P45" s="30"/>
      <c r="Q45" s="14"/>
      <c r="S45" s="146"/>
    </row>
    <row r="46" spans="1:19" ht="13.5" customHeight="1" x14ac:dyDescent="0.2">
      <c r="A46" s="415"/>
      <c r="B46" s="383" t="str">
        <f>IF('Per1'!B46&lt;&gt;"",'Per1'!B46,"")</f>
        <v/>
      </c>
      <c r="C46" s="383"/>
      <c r="D46" s="60" t="str">
        <f>IF('Per1'!D46&lt;&gt;"",'Per1'!D46,"")</f>
        <v/>
      </c>
      <c r="E46" s="143" t="str">
        <f>'Per1'!E46</f>
        <v>Select</v>
      </c>
      <c r="F46" s="144" t="str">
        <f>'Per1'!F46</f>
        <v>Select One</v>
      </c>
      <c r="G46" s="481">
        <f>IF(E46="Hourly",ROUND('Per1'!G46*1.03,2),ROUND('Per1'!G46*1.03,0))</f>
        <v>0</v>
      </c>
      <c r="H46" s="482"/>
      <c r="I46" s="6"/>
      <c r="J46" s="27"/>
      <c r="K46" s="209">
        <f t="shared" si="6"/>
        <v>0</v>
      </c>
      <c r="L46" s="7" t="str">
        <f t="shared" si="2"/>
        <v>-</v>
      </c>
      <c r="M46" s="19">
        <f t="shared" si="3"/>
        <v>0</v>
      </c>
      <c r="N46" s="19">
        <f t="shared" si="4"/>
        <v>0</v>
      </c>
      <c r="O46" s="8">
        <f t="shared" si="7"/>
        <v>0</v>
      </c>
      <c r="P46" s="30"/>
      <c r="Q46" s="14"/>
      <c r="S46" s="146"/>
    </row>
    <row r="47" spans="1:19" ht="13.5" customHeight="1" x14ac:dyDescent="0.2">
      <c r="A47" s="415"/>
      <c r="B47" s="383" t="str">
        <f>IF('Per1'!B47&lt;&gt;"",'Per1'!B47,"")</f>
        <v/>
      </c>
      <c r="C47" s="383"/>
      <c r="D47" s="60" t="str">
        <f>IF('Per1'!D47&lt;&gt;"",'Per1'!D47,"")</f>
        <v/>
      </c>
      <c r="E47" s="143" t="str">
        <f>'Per1'!E47</f>
        <v>Select</v>
      </c>
      <c r="F47" s="144" t="str">
        <f>'Per1'!F47</f>
        <v>Select One</v>
      </c>
      <c r="G47" s="481">
        <f>IF(E47="Hourly",ROUND('Per1'!G47*1.03,2),ROUND('Per1'!G47*1.03,0))</f>
        <v>0</v>
      </c>
      <c r="H47" s="482"/>
      <c r="I47" s="6"/>
      <c r="J47" s="27"/>
      <c r="K47" s="209">
        <f t="shared" si="6"/>
        <v>0</v>
      </c>
      <c r="L47" s="7" t="str">
        <f t="shared" si="2"/>
        <v>-</v>
      </c>
      <c r="M47" s="19">
        <f t="shared" si="3"/>
        <v>0</v>
      </c>
      <c r="N47" s="19">
        <f t="shared" si="4"/>
        <v>0</v>
      </c>
      <c r="O47" s="8">
        <f t="shared" si="7"/>
        <v>0</v>
      </c>
      <c r="P47" s="30"/>
      <c r="Q47" s="14"/>
      <c r="S47" s="146"/>
    </row>
    <row r="48" spans="1:19" ht="13.5" customHeight="1" thickBot="1" x14ac:dyDescent="0.25">
      <c r="A48" s="415"/>
      <c r="B48" s="383" t="str">
        <f>IF('Per1'!B48&lt;&gt;"",'Per1'!B48,"")</f>
        <v/>
      </c>
      <c r="C48" s="383"/>
      <c r="D48" s="60" t="str">
        <f>IF('Per1'!D48&lt;&gt;"",'Per1'!D48,"")</f>
        <v/>
      </c>
      <c r="E48" s="143" t="str">
        <f>'Per1'!E48</f>
        <v>Select</v>
      </c>
      <c r="F48" s="144" t="str">
        <f>'Per1'!F48</f>
        <v>Select One</v>
      </c>
      <c r="G48" s="481">
        <f>IF(E48="Hourly",ROUND('Per1'!G48*1.03,2),ROUND('Per1'!G48*1.03,0))</f>
        <v>0</v>
      </c>
      <c r="H48" s="482"/>
      <c r="I48" s="6"/>
      <c r="J48" s="27"/>
      <c r="K48" s="209">
        <f t="shared" si="6"/>
        <v>0</v>
      </c>
      <c r="L48" s="7" t="str">
        <f t="shared" si="2"/>
        <v>-</v>
      </c>
      <c r="M48" s="19">
        <f t="shared" si="3"/>
        <v>0</v>
      </c>
      <c r="N48" s="19">
        <f t="shared" si="4"/>
        <v>0</v>
      </c>
      <c r="O48" s="8">
        <f t="shared" si="7"/>
        <v>0</v>
      </c>
      <c r="P48" s="30"/>
      <c r="Q48" s="14"/>
      <c r="S48" s="146"/>
    </row>
    <row r="49" spans="1:19" ht="13.5" hidden="1" customHeight="1" x14ac:dyDescent="0.2">
      <c r="A49" s="415"/>
      <c r="B49" s="383" t="str">
        <f>IF('Per1'!B49&lt;&gt;"",'Per1'!B49,"")</f>
        <v/>
      </c>
      <c r="C49" s="383"/>
      <c r="D49" s="60" t="str">
        <f>IF('Per1'!D49&lt;&gt;"",'Per1'!D49,"")</f>
        <v/>
      </c>
      <c r="E49" s="143" t="str">
        <f>'Per1'!E49</f>
        <v>Select</v>
      </c>
      <c r="F49" s="144" t="str">
        <f>'Per1'!F49</f>
        <v>Select One</v>
      </c>
      <c r="G49" s="481">
        <f>IF(E49="Hourly",ROUND('Per1'!G49*1.03,2),ROUND('Per1'!G49*1.03,0))</f>
        <v>0</v>
      </c>
      <c r="H49" s="482"/>
      <c r="I49" s="6"/>
      <c r="J49" s="27"/>
      <c r="K49" s="209">
        <f t="shared" si="6"/>
        <v>0</v>
      </c>
      <c r="L49" s="7" t="str">
        <f t="shared" si="2"/>
        <v>-</v>
      </c>
      <c r="M49" s="19">
        <f t="shared" si="3"/>
        <v>0</v>
      </c>
      <c r="N49" s="19">
        <f t="shared" si="4"/>
        <v>0</v>
      </c>
      <c r="O49" s="8">
        <f t="shared" si="7"/>
        <v>0</v>
      </c>
      <c r="P49" s="30"/>
      <c r="Q49" s="224" t="s">
        <v>111</v>
      </c>
      <c r="S49" s="146"/>
    </row>
    <row r="50" spans="1:19" ht="13.5" hidden="1" customHeight="1" x14ac:dyDescent="0.2">
      <c r="A50" s="415"/>
      <c r="B50" s="383" t="str">
        <f>IF('Per1'!B50&lt;&gt;"",'Per1'!B50,"")</f>
        <v/>
      </c>
      <c r="C50" s="383"/>
      <c r="D50" s="60" t="str">
        <f>IF('Per1'!D50&lt;&gt;"",'Per1'!D50,"")</f>
        <v/>
      </c>
      <c r="E50" s="143" t="str">
        <f>'Per1'!E50</f>
        <v>Select</v>
      </c>
      <c r="F50" s="144" t="str">
        <f>'Per1'!F50</f>
        <v>Select One</v>
      </c>
      <c r="G50" s="481">
        <f>IF(E50="Hourly",ROUND('Per1'!G50*1.03,2),ROUND('Per1'!G50*1.03,0))</f>
        <v>0</v>
      </c>
      <c r="H50" s="482"/>
      <c r="I50" s="6"/>
      <c r="J50" s="27"/>
      <c r="K50" s="209">
        <f t="shared" si="6"/>
        <v>0</v>
      </c>
      <c r="L50" s="7" t="str">
        <f t="shared" si="2"/>
        <v>-</v>
      </c>
      <c r="M50" s="19">
        <f t="shared" si="3"/>
        <v>0</v>
      </c>
      <c r="N50" s="19">
        <f t="shared" si="4"/>
        <v>0</v>
      </c>
      <c r="O50" s="8">
        <f t="shared" si="7"/>
        <v>0</v>
      </c>
      <c r="P50" s="30"/>
      <c r="Q50" s="14"/>
      <c r="S50" s="146"/>
    </row>
    <row r="51" spans="1:19" ht="13.5" hidden="1" customHeight="1" x14ac:dyDescent="0.2">
      <c r="A51" s="415"/>
      <c r="B51" s="383" t="str">
        <f>IF('Per1'!B51&lt;&gt;"",'Per1'!B51,"")</f>
        <v/>
      </c>
      <c r="C51" s="383"/>
      <c r="D51" s="60" t="str">
        <f>IF('Per1'!D51&lt;&gt;"",'Per1'!D51,"")</f>
        <v/>
      </c>
      <c r="E51" s="143" t="str">
        <f>'Per1'!E51</f>
        <v>Select</v>
      </c>
      <c r="F51" s="144" t="str">
        <f>'Per1'!F51</f>
        <v>Select One</v>
      </c>
      <c r="G51" s="481">
        <f>IF(E51="Hourly",ROUND('Per1'!G51*1.03,2),ROUND('Per1'!G51*1.03,0))</f>
        <v>0</v>
      </c>
      <c r="H51" s="482"/>
      <c r="I51" s="6"/>
      <c r="J51" s="27"/>
      <c r="K51" s="209">
        <f t="shared" si="6"/>
        <v>0</v>
      </c>
      <c r="L51" s="7" t="str">
        <f t="shared" si="2"/>
        <v>-</v>
      </c>
      <c r="M51" s="19">
        <f t="shared" si="3"/>
        <v>0</v>
      </c>
      <c r="N51" s="19">
        <f t="shared" si="4"/>
        <v>0</v>
      </c>
      <c r="O51" s="8">
        <f t="shared" si="7"/>
        <v>0</v>
      </c>
      <c r="P51" s="30"/>
      <c r="Q51" s="14"/>
      <c r="S51" s="146"/>
    </row>
    <row r="52" spans="1:19" ht="13.5" hidden="1" customHeight="1" x14ac:dyDescent="0.2">
      <c r="A52" s="415"/>
      <c r="B52" s="383" t="str">
        <f>IF('Per1'!B52&lt;&gt;"",'Per1'!B52,"")</f>
        <v/>
      </c>
      <c r="C52" s="383"/>
      <c r="D52" s="60" t="str">
        <f>IF('Per1'!D52&lt;&gt;"",'Per1'!D52,"")</f>
        <v/>
      </c>
      <c r="E52" s="143" t="str">
        <f>'Per1'!E52</f>
        <v>Select</v>
      </c>
      <c r="F52" s="144" t="str">
        <f>'Per1'!F52</f>
        <v>Select One</v>
      </c>
      <c r="G52" s="481">
        <f>IF(E52="Hourly",ROUND('Per1'!G52*1.03,2),ROUND('Per1'!G52*1.03,0))</f>
        <v>0</v>
      </c>
      <c r="H52" s="482"/>
      <c r="I52" s="6"/>
      <c r="J52" s="27"/>
      <c r="K52" s="209">
        <f t="shared" si="6"/>
        <v>0</v>
      </c>
      <c r="L52" s="7" t="str">
        <f t="shared" si="2"/>
        <v>-</v>
      </c>
      <c r="M52" s="19">
        <f t="shared" si="3"/>
        <v>0</v>
      </c>
      <c r="N52" s="19">
        <f t="shared" si="4"/>
        <v>0</v>
      </c>
      <c r="O52" s="8">
        <f t="shared" si="7"/>
        <v>0</v>
      </c>
      <c r="P52" s="30"/>
      <c r="Q52" s="14"/>
      <c r="S52" s="146"/>
    </row>
    <row r="53" spans="1:19" ht="13.5" hidden="1" customHeight="1" x14ac:dyDescent="0.2">
      <c r="A53" s="415"/>
      <c r="B53" s="383" t="str">
        <f>IF('Per1'!B53&lt;&gt;"",'Per1'!B53,"")</f>
        <v/>
      </c>
      <c r="C53" s="383"/>
      <c r="D53" s="60" t="str">
        <f>IF('Per1'!D53&lt;&gt;"",'Per1'!D53,"")</f>
        <v/>
      </c>
      <c r="E53" s="143" t="str">
        <f>'Per1'!E53</f>
        <v>Select</v>
      </c>
      <c r="F53" s="144" t="str">
        <f>'Per1'!F53</f>
        <v>Select One</v>
      </c>
      <c r="G53" s="481">
        <f>IF(E53="Hourly",ROUND('Per1'!G53*1.03,2),ROUND('Per1'!G53*1.03,0))</f>
        <v>0</v>
      </c>
      <c r="H53" s="482"/>
      <c r="I53" s="6"/>
      <c r="J53" s="27"/>
      <c r="K53" s="209">
        <f t="shared" si="6"/>
        <v>0</v>
      </c>
      <c r="L53" s="7" t="str">
        <f t="shared" si="2"/>
        <v>-</v>
      </c>
      <c r="M53" s="19">
        <f t="shared" si="3"/>
        <v>0</v>
      </c>
      <c r="N53" s="19">
        <f t="shared" si="4"/>
        <v>0</v>
      </c>
      <c r="O53" s="8">
        <f t="shared" si="7"/>
        <v>0</v>
      </c>
      <c r="P53" s="30"/>
      <c r="Q53" s="14"/>
      <c r="S53" s="146"/>
    </row>
    <row r="54" spans="1:19" ht="13.5" hidden="1" customHeight="1" x14ac:dyDescent="0.2">
      <c r="A54" s="415"/>
      <c r="B54" s="383" t="str">
        <f>IF('Per1'!B54&lt;&gt;"",'Per1'!B54,"")</f>
        <v/>
      </c>
      <c r="C54" s="383"/>
      <c r="D54" s="60" t="str">
        <f>IF('Per1'!D54&lt;&gt;"",'Per1'!D54,"")</f>
        <v/>
      </c>
      <c r="E54" s="143" t="str">
        <f>'Per1'!E54</f>
        <v>Select</v>
      </c>
      <c r="F54" s="144" t="str">
        <f>'Per1'!F54</f>
        <v>Select One</v>
      </c>
      <c r="G54" s="481">
        <f>IF(E54="Hourly",ROUND('Per1'!G54*1.03,2),ROUND('Per1'!G54*1.03,0))</f>
        <v>0</v>
      </c>
      <c r="H54" s="482"/>
      <c r="I54" s="6"/>
      <c r="J54" s="27"/>
      <c r="K54" s="209">
        <f t="shared" si="6"/>
        <v>0</v>
      </c>
      <c r="L54" s="7" t="str">
        <f t="shared" si="2"/>
        <v>-</v>
      </c>
      <c r="M54" s="19">
        <f t="shared" si="3"/>
        <v>0</v>
      </c>
      <c r="N54" s="19">
        <f t="shared" si="4"/>
        <v>0</v>
      </c>
      <c r="O54" s="8">
        <f t="shared" si="7"/>
        <v>0</v>
      </c>
      <c r="P54" s="30"/>
      <c r="Q54" s="14"/>
      <c r="S54" s="146"/>
    </row>
    <row r="55" spans="1:19" ht="13.5" hidden="1" customHeight="1" x14ac:dyDescent="0.2">
      <c r="A55" s="415"/>
      <c r="B55" s="383" t="str">
        <f>IF('Per1'!B55&lt;&gt;"",'Per1'!B55,"")</f>
        <v/>
      </c>
      <c r="C55" s="383"/>
      <c r="D55" s="60" t="str">
        <f>IF('Per1'!D55&lt;&gt;"",'Per1'!D55,"")</f>
        <v/>
      </c>
      <c r="E55" s="143" t="str">
        <f>'Per1'!E55</f>
        <v>Select</v>
      </c>
      <c r="F55" s="144" t="str">
        <f>'Per1'!F55</f>
        <v>Select One</v>
      </c>
      <c r="G55" s="481">
        <f>IF(E55="Hourly",ROUND('Per1'!G55*1.03,2),ROUND('Per1'!G55*1.03,0))</f>
        <v>0</v>
      </c>
      <c r="H55" s="482"/>
      <c r="I55" s="6"/>
      <c r="J55" s="27"/>
      <c r="K55" s="209">
        <f t="shared" si="6"/>
        <v>0</v>
      </c>
      <c r="L55" s="7" t="str">
        <f t="shared" si="2"/>
        <v>-</v>
      </c>
      <c r="M55" s="19">
        <f t="shared" si="3"/>
        <v>0</v>
      </c>
      <c r="N55" s="19">
        <f t="shared" si="4"/>
        <v>0</v>
      </c>
      <c r="O55" s="8">
        <f t="shared" si="7"/>
        <v>0</v>
      </c>
      <c r="P55" s="30"/>
      <c r="Q55" s="14"/>
      <c r="S55" s="146"/>
    </row>
    <row r="56" spans="1:19" ht="13.5" hidden="1" customHeight="1" x14ac:dyDescent="0.2">
      <c r="A56" s="415"/>
      <c r="B56" s="383" t="str">
        <f>IF('Per1'!B56&lt;&gt;"",'Per1'!B56,"")</f>
        <v/>
      </c>
      <c r="C56" s="383"/>
      <c r="D56" s="60" t="str">
        <f>IF('Per1'!D56&lt;&gt;"",'Per1'!D56,"")</f>
        <v/>
      </c>
      <c r="E56" s="143" t="str">
        <f>'Per1'!E56</f>
        <v>Select</v>
      </c>
      <c r="F56" s="144" t="str">
        <f>'Per1'!F56</f>
        <v>Select One</v>
      </c>
      <c r="G56" s="481">
        <f>IF(E56="Hourly",ROUND('Per1'!G56*1.03,2),ROUND('Per1'!G56*1.03,0))</f>
        <v>0</v>
      </c>
      <c r="H56" s="482"/>
      <c r="I56" s="6"/>
      <c r="J56" s="27"/>
      <c r="K56" s="209">
        <f t="shared" si="6"/>
        <v>0</v>
      </c>
      <c r="L56" s="7" t="str">
        <f t="shared" si="2"/>
        <v>-</v>
      </c>
      <c r="M56" s="19">
        <f t="shared" si="3"/>
        <v>0</v>
      </c>
      <c r="N56" s="19">
        <f t="shared" si="4"/>
        <v>0</v>
      </c>
      <c r="O56" s="8">
        <f t="shared" si="7"/>
        <v>0</v>
      </c>
      <c r="P56" s="30"/>
      <c r="Q56" s="14"/>
      <c r="S56" s="146"/>
    </row>
    <row r="57" spans="1:19" ht="13.5" hidden="1" customHeight="1" x14ac:dyDescent="0.2">
      <c r="A57" s="415"/>
      <c r="B57" s="383" t="str">
        <f>IF('Per1'!B57&lt;&gt;"",'Per1'!B57,"")</f>
        <v/>
      </c>
      <c r="C57" s="383"/>
      <c r="D57" s="60" t="str">
        <f>IF('Per1'!D57&lt;&gt;"",'Per1'!D57,"")</f>
        <v/>
      </c>
      <c r="E57" s="143" t="str">
        <f>'Per1'!E57</f>
        <v>Select</v>
      </c>
      <c r="F57" s="144" t="str">
        <f>'Per1'!F57</f>
        <v>Select One</v>
      </c>
      <c r="G57" s="481">
        <f>IF(E57="Hourly",ROUND('Per1'!G57*1.03,2),ROUND('Per1'!G57*1.03,0))</f>
        <v>0</v>
      </c>
      <c r="H57" s="482"/>
      <c r="I57" s="6"/>
      <c r="J57" s="27"/>
      <c r="K57" s="209">
        <f t="shared" si="6"/>
        <v>0</v>
      </c>
      <c r="L57" s="7" t="str">
        <f t="shared" si="2"/>
        <v>-</v>
      </c>
      <c r="M57" s="19">
        <f t="shared" si="3"/>
        <v>0</v>
      </c>
      <c r="N57" s="19">
        <f t="shared" si="4"/>
        <v>0</v>
      </c>
      <c r="O57" s="8">
        <f t="shared" si="7"/>
        <v>0</v>
      </c>
      <c r="P57" s="30"/>
      <c r="Q57" s="14"/>
      <c r="S57" s="146"/>
    </row>
    <row r="58" spans="1:19" ht="13.5" hidden="1" customHeight="1" x14ac:dyDescent="0.2">
      <c r="A58" s="415"/>
      <c r="B58" s="383" t="str">
        <f>IF('Per1'!B58&lt;&gt;"",'Per1'!B58,"")</f>
        <v/>
      </c>
      <c r="C58" s="383"/>
      <c r="D58" s="60" t="str">
        <f>IF('Per1'!D58&lt;&gt;"",'Per1'!D58,"")</f>
        <v/>
      </c>
      <c r="E58" s="143" t="str">
        <f>'Per1'!E58</f>
        <v>Select</v>
      </c>
      <c r="F58" s="144" t="str">
        <f>'Per1'!F58</f>
        <v>Select One</v>
      </c>
      <c r="G58" s="481">
        <f>IF(E58="Hourly",ROUND('Per1'!G58*1.03,2),ROUND('Per1'!G58*1.03,0))</f>
        <v>0</v>
      </c>
      <c r="H58" s="482"/>
      <c r="I58" s="6"/>
      <c r="J58" s="27"/>
      <c r="K58" s="209">
        <f t="shared" si="6"/>
        <v>0</v>
      </c>
      <c r="L58" s="7" t="str">
        <f t="shared" si="2"/>
        <v>-</v>
      </c>
      <c r="M58" s="19">
        <f t="shared" si="3"/>
        <v>0</v>
      </c>
      <c r="N58" s="19">
        <f t="shared" si="4"/>
        <v>0</v>
      </c>
      <c r="O58" s="8">
        <f t="shared" si="7"/>
        <v>0</v>
      </c>
      <c r="P58" s="30"/>
      <c r="Q58" s="14"/>
      <c r="S58" s="146"/>
    </row>
    <row r="59" spans="1:19" ht="13.5" hidden="1" customHeight="1" x14ac:dyDescent="0.2">
      <c r="A59" s="415"/>
      <c r="B59" s="383" t="str">
        <f>IF('Per1'!B59&lt;&gt;"",'Per1'!B59,"")</f>
        <v/>
      </c>
      <c r="C59" s="383"/>
      <c r="D59" s="60" t="str">
        <f>IF('Per1'!D59&lt;&gt;"",'Per1'!D59,"")</f>
        <v/>
      </c>
      <c r="E59" s="143" t="str">
        <f>'Per1'!E59</f>
        <v>Select</v>
      </c>
      <c r="F59" s="144" t="str">
        <f>'Per1'!F59</f>
        <v>Select One</v>
      </c>
      <c r="G59" s="481">
        <f>IF(E59="Hourly",ROUND('Per1'!G59*1.03,2),ROUND('Per1'!G59*1.03,0))</f>
        <v>0</v>
      </c>
      <c r="H59" s="482"/>
      <c r="I59" s="6"/>
      <c r="J59" s="27"/>
      <c r="K59" s="209">
        <f t="shared" si="6"/>
        <v>0</v>
      </c>
      <c r="L59" s="7" t="str">
        <f t="shared" si="2"/>
        <v>-</v>
      </c>
      <c r="M59" s="19">
        <f t="shared" si="3"/>
        <v>0</v>
      </c>
      <c r="N59" s="19">
        <f t="shared" si="4"/>
        <v>0</v>
      </c>
      <c r="O59" s="8">
        <f t="shared" si="7"/>
        <v>0</v>
      </c>
      <c r="P59" s="30"/>
      <c r="Q59" s="14"/>
      <c r="S59" s="146"/>
    </row>
    <row r="60" spans="1:19" ht="13.5" hidden="1" customHeight="1" x14ac:dyDescent="0.2">
      <c r="A60" s="415"/>
      <c r="B60" s="383" t="str">
        <f>IF('Per1'!B60&lt;&gt;"",'Per1'!B60,"")</f>
        <v/>
      </c>
      <c r="C60" s="383"/>
      <c r="D60" s="60" t="str">
        <f>IF('Per1'!D60&lt;&gt;"",'Per1'!D60,"")</f>
        <v/>
      </c>
      <c r="E60" s="143" t="str">
        <f>'Per1'!E60</f>
        <v>Select</v>
      </c>
      <c r="F60" s="144" t="str">
        <f>'Per1'!F60</f>
        <v>Select One</v>
      </c>
      <c r="G60" s="481">
        <f>IF(E60="Hourly",ROUND('Per1'!G60*1.03,2),ROUND('Per1'!G60*1.03,0))</f>
        <v>0</v>
      </c>
      <c r="H60" s="482"/>
      <c r="I60" s="6"/>
      <c r="J60" s="27"/>
      <c r="K60" s="209">
        <f t="shared" si="6"/>
        <v>0</v>
      </c>
      <c r="L60" s="7" t="str">
        <f t="shared" si="2"/>
        <v>-</v>
      </c>
      <c r="M60" s="19">
        <f t="shared" si="3"/>
        <v>0</v>
      </c>
      <c r="N60" s="19">
        <f t="shared" si="4"/>
        <v>0</v>
      </c>
      <c r="O60" s="8">
        <f t="shared" si="7"/>
        <v>0</v>
      </c>
      <c r="P60" s="30"/>
      <c r="Q60" s="14"/>
      <c r="S60" s="146"/>
    </row>
    <row r="61" spans="1:19" ht="13.5" hidden="1" customHeight="1" x14ac:dyDescent="0.2">
      <c r="A61" s="415"/>
      <c r="B61" s="383" t="str">
        <f>IF('Per1'!B61&lt;&gt;"",'Per1'!B61,"")</f>
        <v/>
      </c>
      <c r="C61" s="383"/>
      <c r="D61" s="60" t="str">
        <f>IF('Per1'!D61&lt;&gt;"",'Per1'!D61,"")</f>
        <v/>
      </c>
      <c r="E61" s="143" t="str">
        <f>'Per1'!E61</f>
        <v>Select</v>
      </c>
      <c r="F61" s="144" t="str">
        <f>'Per1'!F61</f>
        <v>Select One</v>
      </c>
      <c r="G61" s="481">
        <f>IF(E61="Hourly",ROUND('Per1'!G61*1.03,2),ROUND('Per1'!G61*1.03,0))</f>
        <v>0</v>
      </c>
      <c r="H61" s="482"/>
      <c r="I61" s="6"/>
      <c r="J61" s="27"/>
      <c r="K61" s="209">
        <f t="shared" si="6"/>
        <v>0</v>
      </c>
      <c r="L61" s="7" t="str">
        <f t="shared" si="2"/>
        <v>-</v>
      </c>
      <c r="M61" s="19">
        <f t="shared" si="3"/>
        <v>0</v>
      </c>
      <c r="N61" s="19">
        <f t="shared" si="4"/>
        <v>0</v>
      </c>
      <c r="O61" s="8">
        <f t="shared" si="7"/>
        <v>0</v>
      </c>
      <c r="P61" s="30"/>
      <c r="Q61" s="14"/>
      <c r="S61" s="146"/>
    </row>
    <row r="62" spans="1:19" ht="13.5" hidden="1" customHeight="1" x14ac:dyDescent="0.2">
      <c r="A62" s="415"/>
      <c r="B62" s="383" t="str">
        <f>IF('Per1'!B62&lt;&gt;"",'Per1'!B62,"")</f>
        <v/>
      </c>
      <c r="C62" s="383"/>
      <c r="D62" s="60" t="str">
        <f>IF('Per1'!D62&lt;&gt;"",'Per1'!D62,"")</f>
        <v/>
      </c>
      <c r="E62" s="143" t="str">
        <f>'Per1'!E62</f>
        <v>Select</v>
      </c>
      <c r="F62" s="144" t="str">
        <f>'Per1'!F62</f>
        <v>Select One</v>
      </c>
      <c r="G62" s="481">
        <f>IF(E62="Hourly",ROUND('Per1'!G62*1.03,2),ROUND('Per1'!G62*1.03,0))</f>
        <v>0</v>
      </c>
      <c r="H62" s="482"/>
      <c r="I62" s="6"/>
      <c r="J62" s="27"/>
      <c r="K62" s="209">
        <f t="shared" si="6"/>
        <v>0</v>
      </c>
      <c r="L62" s="7" t="str">
        <f t="shared" si="2"/>
        <v>-</v>
      </c>
      <c r="M62" s="19">
        <f t="shared" si="3"/>
        <v>0</v>
      </c>
      <c r="N62" s="19">
        <f t="shared" si="4"/>
        <v>0</v>
      </c>
      <c r="O62" s="8">
        <f t="shared" si="7"/>
        <v>0</v>
      </c>
      <c r="P62" s="30"/>
      <c r="Q62" s="14"/>
      <c r="S62" s="146"/>
    </row>
    <row r="63" spans="1:19" ht="13.5" hidden="1" customHeight="1" x14ac:dyDescent="0.2">
      <c r="A63" s="415"/>
      <c r="B63" s="383" t="str">
        <f>IF('Per1'!B63&lt;&gt;"",'Per1'!B63,"")</f>
        <v/>
      </c>
      <c r="C63" s="383"/>
      <c r="D63" s="60" t="str">
        <f>IF('Per1'!D63&lt;&gt;"",'Per1'!D63,"")</f>
        <v/>
      </c>
      <c r="E63" s="143" t="str">
        <f>'Per1'!E63</f>
        <v>Select</v>
      </c>
      <c r="F63" s="144" t="str">
        <f>'Per1'!F63</f>
        <v>Select One</v>
      </c>
      <c r="G63" s="481">
        <f>IF(E63="Hourly",ROUND('Per1'!G63*1.03,2),ROUND('Per1'!G63*1.03,0))</f>
        <v>0</v>
      </c>
      <c r="H63" s="482"/>
      <c r="I63" s="6"/>
      <c r="J63" s="27"/>
      <c r="K63" s="209">
        <f t="shared" si="6"/>
        <v>0</v>
      </c>
      <c r="L63" s="7" t="str">
        <f t="shared" si="2"/>
        <v>-</v>
      </c>
      <c r="M63" s="19">
        <f t="shared" si="3"/>
        <v>0</v>
      </c>
      <c r="N63" s="19">
        <f t="shared" si="4"/>
        <v>0</v>
      </c>
      <c r="O63" s="8">
        <f t="shared" si="7"/>
        <v>0</v>
      </c>
      <c r="P63" s="30"/>
      <c r="Q63" s="14"/>
      <c r="S63" s="146"/>
    </row>
    <row r="64" spans="1:19" ht="13.5" hidden="1" customHeight="1" x14ac:dyDescent="0.2">
      <c r="A64" s="415"/>
      <c r="B64" s="383" t="str">
        <f>IF('Per1'!B64&lt;&gt;"",'Per1'!B64,"")</f>
        <v/>
      </c>
      <c r="C64" s="383"/>
      <c r="D64" s="60" t="str">
        <f>IF('Per1'!D64&lt;&gt;"",'Per1'!D64,"")</f>
        <v/>
      </c>
      <c r="E64" s="143" t="str">
        <f>'Per1'!E64</f>
        <v>Select</v>
      </c>
      <c r="F64" s="144" t="str">
        <f>'Per1'!F64</f>
        <v>Select One</v>
      </c>
      <c r="G64" s="481">
        <f>IF(E64="Hourly",ROUND('Per1'!G64*1.03,2),ROUND('Per1'!G64*1.03,0))</f>
        <v>0</v>
      </c>
      <c r="H64" s="482"/>
      <c r="I64" s="6"/>
      <c r="J64" s="27"/>
      <c r="K64" s="209">
        <f t="shared" si="6"/>
        <v>0</v>
      </c>
      <c r="L64" s="7" t="str">
        <f t="shared" si="2"/>
        <v>-</v>
      </c>
      <c r="M64" s="19">
        <f t="shared" si="3"/>
        <v>0</v>
      </c>
      <c r="N64" s="19">
        <f t="shared" si="4"/>
        <v>0</v>
      </c>
      <c r="O64" s="8">
        <f t="shared" si="7"/>
        <v>0</v>
      </c>
      <c r="P64" s="30"/>
      <c r="S64" s="146"/>
    </row>
    <row r="65" spans="1:19" ht="13.5" hidden="1" customHeight="1" thickBot="1" x14ac:dyDescent="0.25">
      <c r="A65" s="415"/>
      <c r="B65" s="383" t="str">
        <f>IF('Per1'!B65&lt;&gt;"",'Per1'!B65,"")</f>
        <v/>
      </c>
      <c r="C65" s="383"/>
      <c r="D65" s="60" t="str">
        <f>IF('Per1'!D65&lt;&gt;"",'Per1'!D65,"")</f>
        <v/>
      </c>
      <c r="E65" s="143" t="str">
        <f>'Per1'!E65</f>
        <v>Select</v>
      </c>
      <c r="F65" s="144" t="str">
        <f>'Per1'!F65</f>
        <v>Select One</v>
      </c>
      <c r="G65" s="481">
        <f>IF(E65="Hourly",ROUND('Per1'!G65*1.03,2),ROUND('Per1'!G65*1.03,0))</f>
        <v>0</v>
      </c>
      <c r="H65" s="482"/>
      <c r="I65" s="6"/>
      <c r="J65" s="27"/>
      <c r="K65" s="209">
        <f t="shared" si="6"/>
        <v>0</v>
      </c>
      <c r="L65" s="7" t="str">
        <f t="shared" si="2"/>
        <v>-</v>
      </c>
      <c r="M65" s="19">
        <f t="shared" si="3"/>
        <v>0</v>
      </c>
      <c r="N65" s="19">
        <f t="shared" si="4"/>
        <v>0</v>
      </c>
      <c r="O65" s="8">
        <f t="shared" si="7"/>
        <v>0</v>
      </c>
      <c r="P65" s="30"/>
      <c r="S65" s="146"/>
    </row>
    <row r="66" spans="1:19" ht="13.5" customHeight="1" x14ac:dyDescent="0.2">
      <c r="A66" s="415"/>
      <c r="B66" s="504" t="s">
        <v>112</v>
      </c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121" t="s">
        <v>27</v>
      </c>
      <c r="O66" s="347">
        <f>SUM(O67:O68)</f>
        <v>0</v>
      </c>
      <c r="P66" s="147"/>
    </row>
    <row r="67" spans="1:19" ht="13.5" customHeight="1" x14ac:dyDescent="0.2">
      <c r="A67" s="415"/>
      <c r="B67" s="383" t="s">
        <v>113</v>
      </c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4"/>
      <c r="O67" s="11">
        <v>0</v>
      </c>
      <c r="P67" s="30"/>
    </row>
    <row r="68" spans="1:19" ht="13.5" customHeight="1" thickBot="1" x14ac:dyDescent="0.25">
      <c r="A68" s="415"/>
      <c r="B68" s="383" t="s">
        <v>114</v>
      </c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4"/>
      <c r="O68" s="22">
        <v>0</v>
      </c>
      <c r="P68" s="30"/>
    </row>
    <row r="69" spans="1:19" ht="13.5" customHeight="1" x14ac:dyDescent="0.2">
      <c r="A69" s="415"/>
      <c r="B69" s="504" t="s">
        <v>115</v>
      </c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121" t="s">
        <v>27</v>
      </c>
      <c r="O69" s="347">
        <f>SUM(O70,O77:O81)</f>
        <v>0</v>
      </c>
      <c r="P69" s="147"/>
    </row>
    <row r="70" spans="1:19" ht="13.5" customHeight="1" x14ac:dyDescent="0.2">
      <c r="A70" s="415"/>
      <c r="B70" s="523" t="s">
        <v>116</v>
      </c>
      <c r="C70" s="524"/>
      <c r="D70" s="524"/>
      <c r="E70" s="524"/>
      <c r="F70" s="524"/>
      <c r="G70" s="524"/>
      <c r="H70" s="524"/>
      <c r="I70" s="524"/>
      <c r="J70" s="524"/>
      <c r="K70" s="524"/>
      <c r="L70" s="524"/>
      <c r="M70" s="524"/>
      <c r="N70" s="524"/>
      <c r="O70" s="328">
        <f>SUM(N71:N76)</f>
        <v>0</v>
      </c>
      <c r="P70" s="30"/>
    </row>
    <row r="71" spans="1:19" ht="13.5" customHeight="1" x14ac:dyDescent="0.2">
      <c r="A71" s="415"/>
      <c r="B71" s="523" t="s">
        <v>117</v>
      </c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257">
        <v>0</v>
      </c>
      <c r="O71" s="322"/>
      <c r="P71" s="30"/>
    </row>
    <row r="72" spans="1:19" ht="13.5" customHeight="1" x14ac:dyDescent="0.2">
      <c r="A72" s="415"/>
      <c r="B72" s="382" t="s">
        <v>118</v>
      </c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4"/>
      <c r="N72" s="257">
        <v>0</v>
      </c>
      <c r="O72" s="322"/>
      <c r="P72" s="30"/>
    </row>
    <row r="73" spans="1:19" ht="13.5" customHeight="1" x14ac:dyDescent="0.2">
      <c r="A73" s="415"/>
      <c r="B73" s="523" t="s">
        <v>120</v>
      </c>
      <c r="C73" s="524"/>
      <c r="D73" s="524"/>
      <c r="E73" s="524"/>
      <c r="F73" s="524"/>
      <c r="G73" s="524"/>
      <c r="H73" s="524"/>
      <c r="I73" s="524"/>
      <c r="J73" s="524"/>
      <c r="K73" s="524"/>
      <c r="L73" s="524"/>
      <c r="M73" s="524"/>
      <c r="N73" s="257">
        <v>0</v>
      </c>
      <c r="O73" s="322"/>
      <c r="P73" s="30"/>
    </row>
    <row r="74" spans="1:19" ht="13.5" customHeight="1" x14ac:dyDescent="0.2">
      <c r="A74" s="415"/>
      <c r="B74" s="523" t="s">
        <v>121</v>
      </c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257">
        <v>0</v>
      </c>
      <c r="O74" s="322"/>
      <c r="P74" s="30"/>
    </row>
    <row r="75" spans="1:19" ht="13.5" customHeight="1" x14ac:dyDescent="0.2">
      <c r="A75" s="415"/>
      <c r="B75" s="523" t="s">
        <v>122</v>
      </c>
      <c r="C75" s="524"/>
      <c r="D75" s="524"/>
      <c r="E75" s="524"/>
      <c r="F75" s="524"/>
      <c r="G75" s="524"/>
      <c r="H75" s="524"/>
      <c r="I75" s="524"/>
      <c r="J75" s="524"/>
      <c r="K75" s="524"/>
      <c r="L75" s="524"/>
      <c r="M75" s="524"/>
      <c r="N75" s="257">
        <v>0</v>
      </c>
      <c r="O75" s="322"/>
      <c r="P75" s="30"/>
    </row>
    <row r="76" spans="1:19" ht="13.5" customHeight="1" x14ac:dyDescent="0.2">
      <c r="A76" s="415"/>
      <c r="B76" s="523" t="s">
        <v>123</v>
      </c>
      <c r="C76" s="524"/>
      <c r="D76" s="524"/>
      <c r="E76" s="524"/>
      <c r="F76" s="524"/>
      <c r="G76" s="524"/>
      <c r="H76" s="524"/>
      <c r="I76" s="524"/>
      <c r="J76" s="524"/>
      <c r="K76" s="524"/>
      <c r="L76" s="524"/>
      <c r="M76" s="524"/>
      <c r="N76" s="257">
        <v>0</v>
      </c>
      <c r="O76" s="322"/>
      <c r="P76" s="30"/>
    </row>
    <row r="77" spans="1:19" ht="13.5" customHeight="1" x14ac:dyDescent="0.2">
      <c r="A77" s="415"/>
      <c r="B77" s="523" t="s">
        <v>124</v>
      </c>
      <c r="C77" s="524"/>
      <c r="D77" s="524"/>
      <c r="E77" s="524"/>
      <c r="F77" s="524"/>
      <c r="G77" s="524"/>
      <c r="H77" s="524"/>
      <c r="I77" s="524"/>
      <c r="J77" s="524"/>
      <c r="K77" s="524"/>
      <c r="L77" s="524"/>
      <c r="M77" s="524"/>
      <c r="N77" s="524"/>
      <c r="O77" s="258">
        <v>0</v>
      </c>
      <c r="P77" s="30"/>
    </row>
    <row r="78" spans="1:19" ht="13.5" customHeight="1" x14ac:dyDescent="0.2">
      <c r="A78" s="415"/>
      <c r="B78" s="382" t="s">
        <v>125</v>
      </c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4"/>
      <c r="O78" s="258">
        <v>0</v>
      </c>
      <c r="P78" s="30"/>
      <c r="Q78" s="14" t="s">
        <v>127</v>
      </c>
    </row>
    <row r="79" spans="1:19" ht="13.5" customHeight="1" x14ac:dyDescent="0.2">
      <c r="A79" s="415"/>
      <c r="B79" s="523" t="s">
        <v>126</v>
      </c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258">
        <v>0</v>
      </c>
      <c r="P79" s="30"/>
    </row>
    <row r="80" spans="1:19" ht="13.5" customHeight="1" x14ac:dyDescent="0.2">
      <c r="A80" s="415"/>
      <c r="B80" s="523" t="s">
        <v>128</v>
      </c>
      <c r="C80" s="524"/>
      <c r="D80" s="524"/>
      <c r="E80" s="524"/>
      <c r="F80" s="524"/>
      <c r="G80" s="524"/>
      <c r="H80" s="524"/>
      <c r="I80" s="524"/>
      <c r="J80" s="524"/>
      <c r="K80" s="524"/>
      <c r="L80" s="524"/>
      <c r="M80" s="524"/>
      <c r="N80" s="524"/>
      <c r="O80" s="258">
        <v>0</v>
      </c>
      <c r="P80" s="30"/>
    </row>
    <row r="81" spans="1:20" ht="13.5" customHeight="1" thickBot="1" x14ac:dyDescent="0.25">
      <c r="A81" s="416"/>
      <c r="B81" s="564" t="s">
        <v>129</v>
      </c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16">
        <v>0</v>
      </c>
      <c r="P81" s="30"/>
      <c r="Q81" s="224" t="s">
        <v>199</v>
      </c>
    </row>
    <row r="82" spans="1:20" ht="18" customHeight="1" thickBot="1" x14ac:dyDescent="0.25">
      <c r="A82" s="540"/>
      <c r="B82" s="540"/>
      <c r="C82" s="540"/>
      <c r="D82" s="540"/>
      <c r="E82" s="540"/>
      <c r="F82" s="540"/>
      <c r="G82" s="540"/>
      <c r="H82" s="540"/>
      <c r="I82" s="540"/>
      <c r="J82" s="540"/>
      <c r="K82" s="540"/>
      <c r="L82" s="540"/>
      <c r="M82" s="540"/>
      <c r="N82" s="540"/>
      <c r="O82" s="540"/>
      <c r="P82" s="31"/>
      <c r="Q82" s="256" t="s">
        <v>130</v>
      </c>
    </row>
    <row r="83" spans="1:20" ht="13.5" customHeight="1" x14ac:dyDescent="0.2">
      <c r="A83" s="414" t="s">
        <v>131</v>
      </c>
      <c r="B83" s="495" t="s">
        <v>132</v>
      </c>
      <c r="C83" s="495"/>
      <c r="D83" s="495"/>
      <c r="E83" s="495"/>
      <c r="F83" s="495"/>
      <c r="G83" s="495"/>
      <c r="H83" s="495"/>
      <c r="I83" s="495"/>
      <c r="J83" s="495"/>
      <c r="K83" s="495"/>
      <c r="L83" s="495"/>
      <c r="M83" s="495"/>
      <c r="N83" s="121" t="s">
        <v>27</v>
      </c>
      <c r="O83" s="347">
        <f>SUM(O84:O86)</f>
        <v>0</v>
      </c>
      <c r="P83" s="147"/>
    </row>
    <row r="84" spans="1:20" ht="13.5" customHeight="1" x14ac:dyDescent="0.2">
      <c r="A84" s="415"/>
      <c r="B84" s="383" t="s">
        <v>133</v>
      </c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4"/>
      <c r="O84" s="15">
        <v>0</v>
      </c>
      <c r="P84" s="30"/>
    </row>
    <row r="85" spans="1:20" ht="13.5" customHeight="1" x14ac:dyDescent="0.2">
      <c r="A85" s="415"/>
      <c r="B85" s="383" t="s">
        <v>134</v>
      </c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4"/>
      <c r="O85" s="9">
        <v>0</v>
      </c>
      <c r="P85" s="30"/>
    </row>
    <row r="86" spans="1:20" ht="13.5" customHeight="1" thickBot="1" x14ac:dyDescent="0.25">
      <c r="A86" s="415"/>
      <c r="B86" s="501" t="s">
        <v>135</v>
      </c>
      <c r="C86" s="501"/>
      <c r="D86" s="501"/>
      <c r="E86" s="501"/>
      <c r="F86" s="501"/>
      <c r="G86" s="501"/>
      <c r="H86" s="501"/>
      <c r="I86" s="501"/>
      <c r="J86" s="501"/>
      <c r="K86" s="501"/>
      <c r="L86" s="501"/>
      <c r="M86" s="501"/>
      <c r="N86" s="502"/>
      <c r="O86" s="10">
        <v>0</v>
      </c>
      <c r="P86" s="30"/>
    </row>
    <row r="87" spans="1:20" ht="13.5" customHeight="1" x14ac:dyDescent="0.2">
      <c r="A87" s="415"/>
      <c r="B87" s="504" t="s">
        <v>136</v>
      </c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121" t="s">
        <v>27</v>
      </c>
      <c r="O87" s="347">
        <f>SUM(O88:O91)</f>
        <v>0</v>
      </c>
      <c r="P87" s="147"/>
    </row>
    <row r="88" spans="1:20" ht="13.5" customHeight="1" x14ac:dyDescent="0.2">
      <c r="A88" s="415"/>
      <c r="B88" s="506" t="s">
        <v>137</v>
      </c>
      <c r="C88" s="506"/>
      <c r="D88" s="506"/>
      <c r="E88" s="506"/>
      <c r="F88" s="506"/>
      <c r="G88" s="506"/>
      <c r="H88" s="506"/>
      <c r="I88" s="506"/>
      <c r="J88" s="506"/>
      <c r="K88" s="506"/>
      <c r="L88" s="506"/>
      <c r="M88" s="506"/>
      <c r="N88" s="507"/>
      <c r="O88" s="11">
        <v>0</v>
      </c>
      <c r="P88" s="30"/>
    </row>
    <row r="89" spans="1:20" ht="13.5" customHeight="1" x14ac:dyDescent="0.2">
      <c r="A89" s="415"/>
      <c r="B89" s="509" t="s">
        <v>138</v>
      </c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10"/>
      <c r="O89" s="13">
        <v>0</v>
      </c>
      <c r="P89" s="30"/>
      <c r="Q89" s="14" t="s">
        <v>139</v>
      </c>
    </row>
    <row r="90" spans="1:20" ht="13.5" customHeight="1" x14ac:dyDescent="0.2">
      <c r="A90" s="415"/>
      <c r="B90" s="383" t="s">
        <v>140</v>
      </c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4"/>
      <c r="O90" s="13">
        <v>0</v>
      </c>
      <c r="P90" s="30"/>
    </row>
    <row r="91" spans="1:20" ht="13.5" customHeight="1" thickBot="1" x14ac:dyDescent="0.25">
      <c r="A91" s="415"/>
      <c r="B91" s="501" t="s">
        <v>141</v>
      </c>
      <c r="C91" s="501"/>
      <c r="D91" s="501"/>
      <c r="E91" s="501"/>
      <c r="F91" s="501"/>
      <c r="G91" s="501"/>
      <c r="H91" s="501"/>
      <c r="I91" s="501"/>
      <c r="J91" s="501"/>
      <c r="K91" s="501"/>
      <c r="L91" s="501"/>
      <c r="M91" s="501"/>
      <c r="N91" s="502"/>
      <c r="O91" s="16">
        <v>0</v>
      </c>
      <c r="P91" s="30"/>
      <c r="Q91" s="14" t="s">
        <v>142</v>
      </c>
    </row>
    <row r="92" spans="1:20" ht="13.5" customHeight="1" x14ac:dyDescent="0.2">
      <c r="A92" s="415"/>
      <c r="B92" s="563" t="s">
        <v>143</v>
      </c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121" t="s">
        <v>27</v>
      </c>
      <c r="O92" s="348">
        <f>SUM(O93:O97)</f>
        <v>0</v>
      </c>
      <c r="P92" s="147"/>
    </row>
    <row r="93" spans="1:20" ht="13.5" customHeight="1" x14ac:dyDescent="0.2">
      <c r="A93" s="415"/>
      <c r="B93" s="388" t="s">
        <v>144</v>
      </c>
      <c r="C93" s="389"/>
      <c r="D93" s="389"/>
      <c r="E93" s="389"/>
      <c r="F93" s="389"/>
      <c r="G93" s="389"/>
      <c r="H93" s="389"/>
      <c r="I93" s="389"/>
      <c r="J93" s="389"/>
      <c r="K93" s="389"/>
      <c r="L93" s="389"/>
      <c r="M93" s="389"/>
      <c r="N93" s="390"/>
      <c r="O93" s="149">
        <v>0</v>
      </c>
      <c r="P93" s="147"/>
      <c r="Q93" s="14" t="s">
        <v>145</v>
      </c>
      <c r="T93" s="106"/>
    </row>
    <row r="94" spans="1:20" ht="13.5" customHeight="1" x14ac:dyDescent="0.2">
      <c r="A94" s="415"/>
      <c r="B94" s="383" t="s">
        <v>146</v>
      </c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4"/>
      <c r="O94" s="13">
        <v>0</v>
      </c>
      <c r="P94" s="30"/>
    </row>
    <row r="95" spans="1:20" ht="13.5" customHeight="1" x14ac:dyDescent="0.2">
      <c r="A95" s="415"/>
      <c r="B95" s="383" t="s">
        <v>147</v>
      </c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4"/>
      <c r="O95" s="12">
        <v>0</v>
      </c>
      <c r="P95" s="30"/>
    </row>
    <row r="96" spans="1:20" ht="13.5" customHeight="1" x14ac:dyDescent="0.2">
      <c r="A96" s="415"/>
      <c r="B96" s="382" t="s">
        <v>148</v>
      </c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4"/>
      <c r="O96" s="12">
        <v>0</v>
      </c>
      <c r="P96" s="30"/>
    </row>
    <row r="97" spans="1:17" ht="13.5" customHeight="1" thickBot="1" x14ac:dyDescent="0.25">
      <c r="A97" s="415"/>
      <c r="B97" s="382" t="s">
        <v>149</v>
      </c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4"/>
      <c r="O97" s="12">
        <v>0</v>
      </c>
      <c r="P97" s="30"/>
    </row>
    <row r="98" spans="1:17" ht="18" customHeight="1" thickBot="1" x14ac:dyDescent="0.25">
      <c r="A98" s="18"/>
      <c r="B98" s="467"/>
      <c r="C98" s="467"/>
      <c r="D98" s="467"/>
      <c r="E98" s="467"/>
      <c r="F98" s="467"/>
      <c r="G98" s="467"/>
      <c r="H98" s="467"/>
      <c r="I98" s="467"/>
      <c r="J98" s="467"/>
      <c r="K98" s="467"/>
      <c r="L98" s="467"/>
      <c r="M98" s="467"/>
      <c r="N98" s="467"/>
      <c r="O98" s="467"/>
      <c r="P98" s="32"/>
    </row>
    <row r="99" spans="1:17" ht="13.5" customHeight="1" x14ac:dyDescent="0.2">
      <c r="A99" s="414" t="s">
        <v>150</v>
      </c>
      <c r="B99" s="469" t="s">
        <v>151</v>
      </c>
      <c r="C99" s="560"/>
      <c r="D99" s="560"/>
      <c r="E99" s="560"/>
      <c r="F99" s="560"/>
      <c r="G99" s="560"/>
      <c r="H99" s="560"/>
      <c r="I99" s="560"/>
      <c r="J99" s="560"/>
      <c r="K99" s="560"/>
      <c r="L99" s="560"/>
      <c r="M99" s="560"/>
      <c r="N99" s="36" t="s">
        <v>152</v>
      </c>
      <c r="O99" s="329">
        <f>J121</f>
        <v>0</v>
      </c>
      <c r="P99" s="30"/>
    </row>
    <row r="100" spans="1:17" ht="41.25" customHeight="1" x14ac:dyDescent="0.2">
      <c r="A100" s="415"/>
      <c r="B100" s="470" t="s">
        <v>153</v>
      </c>
      <c r="C100" s="21" t="s">
        <v>154</v>
      </c>
      <c r="D100" s="21"/>
      <c r="E100" s="21"/>
      <c r="F100" s="473" t="s">
        <v>155</v>
      </c>
      <c r="G100" s="474"/>
      <c r="H100" s="475" t="s">
        <v>156</v>
      </c>
      <c r="I100" s="475"/>
      <c r="J100" s="61" t="s">
        <v>157</v>
      </c>
      <c r="K100" s="242" t="s">
        <v>158</v>
      </c>
      <c r="L100" s="243" t="s">
        <v>159</v>
      </c>
      <c r="M100" s="244" t="s">
        <v>160</v>
      </c>
      <c r="N100" s="367" t="s">
        <v>161</v>
      </c>
      <c r="O100" s="368"/>
    </row>
    <row r="101" spans="1:17" ht="13.5" customHeight="1" x14ac:dyDescent="0.2">
      <c r="A101" s="415"/>
      <c r="B101" s="471"/>
      <c r="C101" s="557">
        <f>'Per1'!C101:E101</f>
        <v>0</v>
      </c>
      <c r="D101" s="558"/>
      <c r="E101" s="559"/>
      <c r="F101" s="393">
        <v>0</v>
      </c>
      <c r="G101" s="393"/>
      <c r="H101" s="393">
        <v>0</v>
      </c>
      <c r="I101" s="393"/>
      <c r="J101" s="330">
        <f>F101+H101</f>
        <v>0</v>
      </c>
      <c r="K101" s="245">
        <f>IF((J101+'Per1'!J101)&lt;=24999,J101, 25000-'Per1'!K101)</f>
        <v>0</v>
      </c>
      <c r="L101" s="331">
        <f>F101+H101-K101</f>
        <v>0</v>
      </c>
      <c r="M101" s="331">
        <f t="shared" ref="M101:M120" si="8">ROUND(IF(($L$7-VLOOKUP($G$123,$I$124:$K$142,3,FALSE))&lt;0,$K101,ROUND((1-($L$7-VLOOKUP($G$123,$I$124:$K$142,3,FALSE))/($L$7 +1 - $L$5))*$K101,0))*M$147,0) +ROUND(IF(($L$7-VLOOKUP($G$123,$I$124:$K$142,3,FALSE))&lt;0,0,ROUND(($L$7-VLOOKUP($G$123,$I$124:$K$142,3,FALSE))/($L$7 +1 - $L$5)*$K101,0))*M$148,0)</f>
        <v>0</v>
      </c>
      <c r="N101" s="365">
        <f>K101+L101+M101</f>
        <v>0</v>
      </c>
      <c r="O101" s="366"/>
    </row>
    <row r="102" spans="1:17" ht="13.5" customHeight="1" x14ac:dyDescent="0.2">
      <c r="A102" s="415"/>
      <c r="B102" s="471"/>
      <c r="C102" s="557">
        <f>'Per1'!C102:E102</f>
        <v>0</v>
      </c>
      <c r="D102" s="558"/>
      <c r="E102" s="559"/>
      <c r="F102" s="393">
        <v>0</v>
      </c>
      <c r="G102" s="393"/>
      <c r="H102" s="393">
        <v>0</v>
      </c>
      <c r="I102" s="393"/>
      <c r="J102" s="330">
        <f t="shared" ref="J102:J120" si="9">F102+H102</f>
        <v>0</v>
      </c>
      <c r="K102" s="245">
        <f>IF((J102+'Per1'!J102)&lt;=24999,J102, 25000-'Per1'!K102)</f>
        <v>0</v>
      </c>
      <c r="L102" s="331">
        <f>F102+H102-K102</f>
        <v>0</v>
      </c>
      <c r="M102" s="331">
        <f t="shared" si="8"/>
        <v>0</v>
      </c>
      <c r="N102" s="365">
        <f t="shared" ref="N102:N120" si="10">K102+L102+M102</f>
        <v>0</v>
      </c>
      <c r="O102" s="366"/>
    </row>
    <row r="103" spans="1:17" ht="13.5" customHeight="1" x14ac:dyDescent="0.2">
      <c r="A103" s="415"/>
      <c r="B103" s="471"/>
      <c r="C103" s="557">
        <f>'Per1'!C103:E103</f>
        <v>0</v>
      </c>
      <c r="D103" s="558"/>
      <c r="E103" s="559"/>
      <c r="F103" s="393">
        <v>0</v>
      </c>
      <c r="G103" s="393"/>
      <c r="H103" s="393">
        <v>0</v>
      </c>
      <c r="I103" s="393"/>
      <c r="J103" s="330">
        <f t="shared" si="9"/>
        <v>0</v>
      </c>
      <c r="K103" s="245">
        <f>IF((J103+'Per1'!J103)&lt;=24999,J103, 25000-'Per1'!K103)</f>
        <v>0</v>
      </c>
      <c r="L103" s="331">
        <f>F103+H103-K103</f>
        <v>0</v>
      </c>
      <c r="M103" s="331">
        <f t="shared" si="8"/>
        <v>0</v>
      </c>
      <c r="N103" s="365">
        <f t="shared" si="10"/>
        <v>0</v>
      </c>
      <c r="O103" s="366"/>
    </row>
    <row r="104" spans="1:17" ht="13.5" customHeight="1" x14ac:dyDescent="0.2">
      <c r="A104" s="415"/>
      <c r="B104" s="471"/>
      <c r="C104" s="557">
        <f>'Per1'!C104:E104</f>
        <v>0</v>
      </c>
      <c r="D104" s="558"/>
      <c r="E104" s="559"/>
      <c r="F104" s="393">
        <v>0</v>
      </c>
      <c r="G104" s="393"/>
      <c r="H104" s="393">
        <v>0</v>
      </c>
      <c r="I104" s="393"/>
      <c r="J104" s="330">
        <f t="shared" si="9"/>
        <v>0</v>
      </c>
      <c r="K104" s="245">
        <f>IF((J104+'Per1'!J104)&lt;=24999,J104, 25000-'Per1'!K104)</f>
        <v>0</v>
      </c>
      <c r="L104" s="331">
        <f>F104+H104-K104</f>
        <v>0</v>
      </c>
      <c r="M104" s="331">
        <f t="shared" si="8"/>
        <v>0</v>
      </c>
      <c r="N104" s="365">
        <f t="shared" si="10"/>
        <v>0</v>
      </c>
      <c r="O104" s="366"/>
    </row>
    <row r="105" spans="1:17" ht="13.5" customHeight="1" x14ac:dyDescent="0.2">
      <c r="A105" s="415"/>
      <c r="B105" s="471"/>
      <c r="C105" s="557">
        <f>'Per1'!C105:E105</f>
        <v>0</v>
      </c>
      <c r="D105" s="558"/>
      <c r="E105" s="559"/>
      <c r="F105" s="375">
        <v>0</v>
      </c>
      <c r="G105" s="375"/>
      <c r="H105" s="375">
        <v>0</v>
      </c>
      <c r="I105" s="375"/>
      <c r="J105" s="332">
        <f t="shared" si="9"/>
        <v>0</v>
      </c>
      <c r="K105" s="245">
        <f>IF((J105+'Per1'!J105)&lt;=24999,J105, 25000-'Per1'!K105)</f>
        <v>0</v>
      </c>
      <c r="L105" s="333">
        <f>F105+H105-K105</f>
        <v>0</v>
      </c>
      <c r="M105" s="331">
        <f t="shared" si="8"/>
        <v>0</v>
      </c>
      <c r="N105" s="561">
        <f t="shared" si="10"/>
        <v>0</v>
      </c>
      <c r="O105" s="562"/>
      <c r="Q105" s="224" t="s">
        <v>162</v>
      </c>
    </row>
    <row r="106" spans="1:17" ht="13.5" customHeight="1" thickBot="1" x14ac:dyDescent="0.25">
      <c r="A106" s="415"/>
      <c r="B106" s="471"/>
      <c r="C106" s="557">
        <f>'Per1'!C106:E106</f>
        <v>0</v>
      </c>
      <c r="D106" s="558"/>
      <c r="E106" s="559"/>
      <c r="F106" s="375">
        <v>0</v>
      </c>
      <c r="G106" s="375"/>
      <c r="H106" s="375">
        <v>0</v>
      </c>
      <c r="I106" s="375"/>
      <c r="J106" s="332">
        <f t="shared" si="9"/>
        <v>0</v>
      </c>
      <c r="K106" s="245">
        <f>IF((J106+'Per1'!J106)&lt;=24999,J106, 25000-'Per1'!K106)</f>
        <v>0</v>
      </c>
      <c r="L106" s="333">
        <f t="shared" ref="L106:L120" si="11">F106+H106-K106</f>
        <v>0</v>
      </c>
      <c r="M106" s="331">
        <f t="shared" si="8"/>
        <v>0</v>
      </c>
      <c r="N106" s="365">
        <f t="shared" si="10"/>
        <v>0</v>
      </c>
      <c r="O106" s="366"/>
    </row>
    <row r="107" spans="1:17" ht="13.5" hidden="1" customHeight="1" x14ac:dyDescent="0.2">
      <c r="A107" s="415"/>
      <c r="B107" s="471"/>
      <c r="C107" s="557">
        <f>'Per1'!C107:E107</f>
        <v>0</v>
      </c>
      <c r="D107" s="558"/>
      <c r="E107" s="559"/>
      <c r="F107" s="375">
        <v>0</v>
      </c>
      <c r="G107" s="375"/>
      <c r="H107" s="375">
        <v>0</v>
      </c>
      <c r="I107" s="375"/>
      <c r="J107" s="332">
        <f t="shared" si="9"/>
        <v>0</v>
      </c>
      <c r="K107" s="245">
        <f>IF((J107+'Per1'!J107)&lt;=24999,J107, 25000-'Per1'!K107)</f>
        <v>0</v>
      </c>
      <c r="L107" s="333">
        <f t="shared" si="11"/>
        <v>0</v>
      </c>
      <c r="M107" s="331">
        <f t="shared" si="8"/>
        <v>0</v>
      </c>
      <c r="N107" s="365">
        <f t="shared" si="10"/>
        <v>0</v>
      </c>
      <c r="O107" s="366"/>
    </row>
    <row r="108" spans="1:17" ht="13.5" hidden="1" customHeight="1" x14ac:dyDescent="0.2">
      <c r="A108" s="415"/>
      <c r="B108" s="471"/>
      <c r="C108" s="557">
        <f>'Per1'!C108:E108</f>
        <v>0</v>
      </c>
      <c r="D108" s="558"/>
      <c r="E108" s="559"/>
      <c r="F108" s="375">
        <v>0</v>
      </c>
      <c r="G108" s="375"/>
      <c r="H108" s="375">
        <v>0</v>
      </c>
      <c r="I108" s="375"/>
      <c r="J108" s="332">
        <f t="shared" si="9"/>
        <v>0</v>
      </c>
      <c r="K108" s="245">
        <f>IF((J108+'Per1'!J108)&lt;=24999,J108, 25000-'Per1'!K108)</f>
        <v>0</v>
      </c>
      <c r="L108" s="333">
        <f t="shared" si="11"/>
        <v>0</v>
      </c>
      <c r="M108" s="331">
        <f t="shared" si="8"/>
        <v>0</v>
      </c>
      <c r="N108" s="365">
        <f t="shared" si="10"/>
        <v>0</v>
      </c>
      <c r="O108" s="366"/>
    </row>
    <row r="109" spans="1:17" ht="13.5" hidden="1" customHeight="1" x14ac:dyDescent="0.2">
      <c r="A109" s="415"/>
      <c r="B109" s="471"/>
      <c r="C109" s="557">
        <f>'Per1'!C109:E109</f>
        <v>0</v>
      </c>
      <c r="D109" s="558"/>
      <c r="E109" s="559"/>
      <c r="F109" s="375">
        <v>0</v>
      </c>
      <c r="G109" s="375"/>
      <c r="H109" s="375">
        <v>0</v>
      </c>
      <c r="I109" s="375"/>
      <c r="J109" s="332">
        <f t="shared" si="9"/>
        <v>0</v>
      </c>
      <c r="K109" s="245">
        <f>IF((J109+'Per1'!J109)&lt;=24999,J109, 25000-'Per1'!K109)</f>
        <v>0</v>
      </c>
      <c r="L109" s="333">
        <f t="shared" si="11"/>
        <v>0</v>
      </c>
      <c r="M109" s="331">
        <f t="shared" si="8"/>
        <v>0</v>
      </c>
      <c r="N109" s="365">
        <f t="shared" si="10"/>
        <v>0</v>
      </c>
      <c r="O109" s="366"/>
    </row>
    <row r="110" spans="1:17" ht="13.5" hidden="1" customHeight="1" x14ac:dyDescent="0.2">
      <c r="A110" s="415"/>
      <c r="B110" s="471"/>
      <c r="C110" s="557">
        <f>'Per1'!C110:E110</f>
        <v>0</v>
      </c>
      <c r="D110" s="558"/>
      <c r="E110" s="559"/>
      <c r="F110" s="375">
        <v>0</v>
      </c>
      <c r="G110" s="375"/>
      <c r="H110" s="375">
        <v>0</v>
      </c>
      <c r="I110" s="375"/>
      <c r="J110" s="332">
        <f t="shared" si="9"/>
        <v>0</v>
      </c>
      <c r="K110" s="245">
        <f>IF((J110+'Per1'!J110)&lt;=24999,J110, 25000-'Per1'!K110)</f>
        <v>0</v>
      </c>
      <c r="L110" s="333">
        <f t="shared" si="11"/>
        <v>0</v>
      </c>
      <c r="M110" s="331">
        <f t="shared" si="8"/>
        <v>0</v>
      </c>
      <c r="N110" s="365">
        <f t="shared" si="10"/>
        <v>0</v>
      </c>
      <c r="O110" s="366"/>
    </row>
    <row r="111" spans="1:17" ht="13.5" hidden="1" customHeight="1" x14ac:dyDescent="0.2">
      <c r="A111" s="415"/>
      <c r="B111" s="471"/>
      <c r="C111" s="557">
        <f>'Per1'!C111:E111</f>
        <v>0</v>
      </c>
      <c r="D111" s="558"/>
      <c r="E111" s="559"/>
      <c r="F111" s="375">
        <v>0</v>
      </c>
      <c r="G111" s="375"/>
      <c r="H111" s="375">
        <v>0</v>
      </c>
      <c r="I111" s="375"/>
      <c r="J111" s="332">
        <f t="shared" si="9"/>
        <v>0</v>
      </c>
      <c r="K111" s="245">
        <f>IF((J111+'Per1'!J111)&lt;=24999,J111, 25000-'Per1'!K111)</f>
        <v>0</v>
      </c>
      <c r="L111" s="333">
        <f t="shared" si="11"/>
        <v>0</v>
      </c>
      <c r="M111" s="331">
        <f t="shared" si="8"/>
        <v>0</v>
      </c>
      <c r="N111" s="365">
        <f t="shared" si="10"/>
        <v>0</v>
      </c>
      <c r="O111" s="366"/>
      <c r="Q111" s="261" t="e">
        <f>'Per1'!C101:E101</f>
        <v>#VALUE!</v>
      </c>
    </row>
    <row r="112" spans="1:17" ht="13.5" hidden="1" customHeight="1" x14ac:dyDescent="0.2">
      <c r="A112" s="415"/>
      <c r="B112" s="471"/>
      <c r="C112" s="557">
        <f>'Per1'!C112:E112</f>
        <v>0</v>
      </c>
      <c r="D112" s="558"/>
      <c r="E112" s="559"/>
      <c r="F112" s="375">
        <v>0</v>
      </c>
      <c r="G112" s="375"/>
      <c r="H112" s="375">
        <v>0</v>
      </c>
      <c r="I112" s="375"/>
      <c r="J112" s="332">
        <f t="shared" si="9"/>
        <v>0</v>
      </c>
      <c r="K112" s="245">
        <f>IF((J112+'Per1'!J112)&lt;=24999,J112, 25000-'Per1'!K112)</f>
        <v>0</v>
      </c>
      <c r="L112" s="333">
        <f t="shared" si="11"/>
        <v>0</v>
      </c>
      <c r="M112" s="331">
        <f t="shared" si="8"/>
        <v>0</v>
      </c>
      <c r="N112" s="365">
        <f t="shared" si="10"/>
        <v>0</v>
      </c>
      <c r="O112" s="366"/>
    </row>
    <row r="113" spans="1:15" ht="13.5" hidden="1" customHeight="1" x14ac:dyDescent="0.2">
      <c r="A113" s="415"/>
      <c r="B113" s="471"/>
      <c r="C113" s="557">
        <f>'Per1'!C113:E113</f>
        <v>0</v>
      </c>
      <c r="D113" s="558"/>
      <c r="E113" s="559"/>
      <c r="F113" s="375">
        <v>0</v>
      </c>
      <c r="G113" s="375"/>
      <c r="H113" s="375">
        <v>0</v>
      </c>
      <c r="I113" s="375"/>
      <c r="J113" s="332">
        <f t="shared" si="9"/>
        <v>0</v>
      </c>
      <c r="K113" s="245">
        <f>IF((J113+'Per1'!J113)&lt;=24999,J113, 25000-'Per1'!K113)</f>
        <v>0</v>
      </c>
      <c r="L113" s="333">
        <f t="shared" si="11"/>
        <v>0</v>
      </c>
      <c r="M113" s="331">
        <f t="shared" si="8"/>
        <v>0</v>
      </c>
      <c r="N113" s="365">
        <f t="shared" si="10"/>
        <v>0</v>
      </c>
      <c r="O113" s="366"/>
    </row>
    <row r="114" spans="1:15" ht="13.5" hidden="1" customHeight="1" x14ac:dyDescent="0.2">
      <c r="A114" s="415"/>
      <c r="B114" s="471"/>
      <c r="C114" s="557">
        <f>'Per1'!C114:E114</f>
        <v>0</v>
      </c>
      <c r="D114" s="558"/>
      <c r="E114" s="559"/>
      <c r="F114" s="375">
        <v>0</v>
      </c>
      <c r="G114" s="375"/>
      <c r="H114" s="375">
        <v>0</v>
      </c>
      <c r="I114" s="375"/>
      <c r="J114" s="332">
        <f t="shared" si="9"/>
        <v>0</v>
      </c>
      <c r="K114" s="245">
        <f>IF((J114+'Per1'!J114)&lt;=24999,J114, 25000-'Per1'!K114)</f>
        <v>0</v>
      </c>
      <c r="L114" s="333">
        <f t="shared" si="11"/>
        <v>0</v>
      </c>
      <c r="M114" s="331">
        <f t="shared" si="8"/>
        <v>0</v>
      </c>
      <c r="N114" s="365">
        <f t="shared" si="10"/>
        <v>0</v>
      </c>
      <c r="O114" s="366"/>
    </row>
    <row r="115" spans="1:15" ht="13.5" hidden="1" customHeight="1" x14ac:dyDescent="0.2">
      <c r="A115" s="415"/>
      <c r="B115" s="471"/>
      <c r="C115" s="557">
        <f>'Per1'!C115:E115</f>
        <v>0</v>
      </c>
      <c r="D115" s="558"/>
      <c r="E115" s="559"/>
      <c r="F115" s="375">
        <v>0</v>
      </c>
      <c r="G115" s="375"/>
      <c r="H115" s="375">
        <v>0</v>
      </c>
      <c r="I115" s="375"/>
      <c r="J115" s="332">
        <f t="shared" si="9"/>
        <v>0</v>
      </c>
      <c r="K115" s="245">
        <f>IF((J115+'Per1'!J115)&lt;=24999,J115, 25000-'Per1'!K115)</f>
        <v>0</v>
      </c>
      <c r="L115" s="333">
        <f t="shared" si="11"/>
        <v>0</v>
      </c>
      <c r="M115" s="331">
        <f t="shared" si="8"/>
        <v>0</v>
      </c>
      <c r="N115" s="365">
        <f t="shared" si="10"/>
        <v>0</v>
      </c>
      <c r="O115" s="366"/>
    </row>
    <row r="116" spans="1:15" ht="13.5" hidden="1" customHeight="1" x14ac:dyDescent="0.2">
      <c r="A116" s="415"/>
      <c r="B116" s="471"/>
      <c r="C116" s="557">
        <f>'Per1'!C116:E116</f>
        <v>0</v>
      </c>
      <c r="D116" s="558"/>
      <c r="E116" s="559"/>
      <c r="F116" s="375">
        <v>0</v>
      </c>
      <c r="G116" s="375"/>
      <c r="H116" s="375">
        <v>0</v>
      </c>
      <c r="I116" s="375"/>
      <c r="J116" s="332">
        <f t="shared" si="9"/>
        <v>0</v>
      </c>
      <c r="K116" s="245">
        <f>IF((J116+'Per1'!J116)&lt;=24999,J116, 25000-'Per1'!K116)</f>
        <v>0</v>
      </c>
      <c r="L116" s="333">
        <f t="shared" si="11"/>
        <v>0</v>
      </c>
      <c r="M116" s="331">
        <f t="shared" si="8"/>
        <v>0</v>
      </c>
      <c r="N116" s="365">
        <f t="shared" si="10"/>
        <v>0</v>
      </c>
      <c r="O116" s="366"/>
    </row>
    <row r="117" spans="1:15" ht="13.5" hidden="1" customHeight="1" x14ac:dyDescent="0.2">
      <c r="A117" s="415"/>
      <c r="B117" s="471"/>
      <c r="C117" s="557">
        <f>'Per1'!C117:E117</f>
        <v>0</v>
      </c>
      <c r="D117" s="558"/>
      <c r="E117" s="559"/>
      <c r="F117" s="375">
        <v>0</v>
      </c>
      <c r="G117" s="375"/>
      <c r="H117" s="375">
        <v>0</v>
      </c>
      <c r="I117" s="375"/>
      <c r="J117" s="332">
        <f t="shared" si="9"/>
        <v>0</v>
      </c>
      <c r="K117" s="245">
        <f>IF((J117+'Per1'!J117)&lt;=24999,J117, 25000-'Per1'!K117)</f>
        <v>0</v>
      </c>
      <c r="L117" s="333">
        <f t="shared" si="11"/>
        <v>0</v>
      </c>
      <c r="M117" s="331">
        <f t="shared" si="8"/>
        <v>0</v>
      </c>
      <c r="N117" s="365">
        <f t="shared" si="10"/>
        <v>0</v>
      </c>
      <c r="O117" s="366"/>
    </row>
    <row r="118" spans="1:15" ht="13.5" hidden="1" customHeight="1" x14ac:dyDescent="0.2">
      <c r="A118" s="415"/>
      <c r="B118" s="471"/>
      <c r="C118" s="557">
        <f>'Per1'!C118:E118</f>
        <v>0</v>
      </c>
      <c r="D118" s="558"/>
      <c r="E118" s="559"/>
      <c r="F118" s="375">
        <v>0</v>
      </c>
      <c r="G118" s="375"/>
      <c r="H118" s="375">
        <v>0</v>
      </c>
      <c r="I118" s="375"/>
      <c r="J118" s="332">
        <f t="shared" si="9"/>
        <v>0</v>
      </c>
      <c r="K118" s="245">
        <f>IF((J118+'Per1'!J118)&lt;=24999,J118, 25000-'Per1'!K118)</f>
        <v>0</v>
      </c>
      <c r="L118" s="333">
        <f t="shared" si="11"/>
        <v>0</v>
      </c>
      <c r="M118" s="331">
        <f t="shared" si="8"/>
        <v>0</v>
      </c>
      <c r="N118" s="365">
        <f t="shared" si="10"/>
        <v>0</v>
      </c>
      <c r="O118" s="366"/>
    </row>
    <row r="119" spans="1:15" ht="13.5" hidden="1" customHeight="1" x14ac:dyDescent="0.2">
      <c r="A119" s="415"/>
      <c r="B119" s="471"/>
      <c r="C119" s="557">
        <f>'Per1'!C119:E119</f>
        <v>0</v>
      </c>
      <c r="D119" s="558"/>
      <c r="E119" s="559"/>
      <c r="F119" s="375">
        <v>0</v>
      </c>
      <c r="G119" s="375"/>
      <c r="H119" s="375">
        <v>0</v>
      </c>
      <c r="I119" s="375"/>
      <c r="J119" s="332">
        <f t="shared" si="9"/>
        <v>0</v>
      </c>
      <c r="K119" s="245">
        <f>IF((J119+'Per1'!J119)&lt;=24999,J119, 25000-'Per1'!K119)</f>
        <v>0</v>
      </c>
      <c r="L119" s="333">
        <f t="shared" si="11"/>
        <v>0</v>
      </c>
      <c r="M119" s="331">
        <f t="shared" si="8"/>
        <v>0</v>
      </c>
      <c r="N119" s="365">
        <f t="shared" si="10"/>
        <v>0</v>
      </c>
      <c r="O119" s="366"/>
    </row>
    <row r="120" spans="1:15" ht="13.5" hidden="1" customHeight="1" thickBot="1" x14ac:dyDescent="0.25">
      <c r="A120" s="415"/>
      <c r="B120" s="471"/>
      <c r="C120" s="557">
        <f>'Per1'!C120:E120</f>
        <v>0</v>
      </c>
      <c r="D120" s="558"/>
      <c r="E120" s="559"/>
      <c r="F120" s="375">
        <v>0</v>
      </c>
      <c r="G120" s="375"/>
      <c r="H120" s="375">
        <v>0</v>
      </c>
      <c r="I120" s="375"/>
      <c r="J120" s="332">
        <f t="shared" si="9"/>
        <v>0</v>
      </c>
      <c r="K120" s="245">
        <f>IF((J120+'Per1'!J120)&lt;=24999,J120, 25000-'Per1'!K120)</f>
        <v>0</v>
      </c>
      <c r="L120" s="333">
        <f t="shared" si="11"/>
        <v>0</v>
      </c>
      <c r="M120" s="331">
        <f t="shared" si="8"/>
        <v>0</v>
      </c>
      <c r="N120" s="479">
        <f t="shared" si="10"/>
        <v>0</v>
      </c>
      <c r="O120" s="480"/>
    </row>
    <row r="121" spans="1:15" ht="13.5" customHeight="1" thickBot="1" x14ac:dyDescent="0.25">
      <c r="A121" s="416"/>
      <c r="B121" s="472"/>
      <c r="C121" s="436" t="s">
        <v>163</v>
      </c>
      <c r="D121" s="436"/>
      <c r="E121" s="437"/>
      <c r="F121" s="379">
        <f>SUM(F101:G120)</f>
        <v>0</v>
      </c>
      <c r="G121" s="379"/>
      <c r="H121" s="379">
        <f>SUM(H101:I120)</f>
        <v>0</v>
      </c>
      <c r="I121" s="379"/>
      <c r="J121" s="334">
        <f>SUM(J101:J120)</f>
        <v>0</v>
      </c>
      <c r="K121" s="247">
        <f>SUM(K101:K120)</f>
        <v>0</v>
      </c>
      <c r="L121" s="335">
        <f>SUM(L101:L120)</f>
        <v>0</v>
      </c>
      <c r="M121" s="336">
        <f>SUM(M101:M120)</f>
        <v>0</v>
      </c>
      <c r="N121" s="248"/>
      <c r="O121" s="249"/>
    </row>
    <row r="122" spans="1:15" ht="13.5" hidden="1" customHeight="1" x14ac:dyDescent="0.2">
      <c r="A122" s="114"/>
      <c r="B122" s="115"/>
      <c r="C122" s="116"/>
      <c r="D122" s="116"/>
      <c r="E122" s="116"/>
      <c r="F122" s="117"/>
      <c r="G122" s="117"/>
      <c r="H122" s="117"/>
      <c r="I122" s="117"/>
      <c r="J122" s="23"/>
      <c r="K122" s="157"/>
      <c r="L122" s="23"/>
      <c r="M122" s="23"/>
      <c r="N122" s="117"/>
    </row>
    <row r="123" spans="1:15" ht="13.5" hidden="1" customHeight="1" x14ac:dyDescent="0.2">
      <c r="A123" s="221"/>
      <c r="B123" s="218"/>
      <c r="C123" s="218"/>
      <c r="D123" s="218"/>
      <c r="E123" s="218"/>
      <c r="F123" s="219" t="s">
        <v>164</v>
      </c>
      <c r="G123" s="218">
        <f>IF(MONTH(L5)&lt;9,YEAR(L5),YEAR(L5)+1)</f>
        <v>2026</v>
      </c>
      <c r="H123" s="218"/>
      <c r="I123" s="219" t="s">
        <v>165</v>
      </c>
      <c r="J123" s="219" t="s">
        <v>166</v>
      </c>
      <c r="K123" s="219" t="s">
        <v>167</v>
      </c>
      <c r="L123" s="23"/>
      <c r="M123" s="23"/>
      <c r="N123" s="117"/>
    </row>
    <row r="124" spans="1:15" ht="13.5" hidden="1" customHeight="1" x14ac:dyDescent="0.2">
      <c r="A124" s="221"/>
      <c r="B124" s="218"/>
      <c r="C124" s="218"/>
      <c r="D124" s="218"/>
      <c r="E124" s="218"/>
      <c r="F124" s="218"/>
      <c r="G124" s="218"/>
      <c r="H124" s="218"/>
      <c r="I124" s="218">
        <v>2018</v>
      </c>
      <c r="J124" s="218">
        <v>0.47</v>
      </c>
      <c r="K124" s="220">
        <f>DATE(I124,8,31)</f>
        <v>43343</v>
      </c>
      <c r="L124" s="23"/>
      <c r="M124" s="23"/>
      <c r="N124" s="117"/>
    </row>
    <row r="125" spans="1:15" ht="13.5" hidden="1" customHeight="1" x14ac:dyDescent="0.2">
      <c r="A125" s="221"/>
      <c r="B125" s="218"/>
      <c r="C125" s="218"/>
      <c r="D125" s="218"/>
      <c r="E125" s="218"/>
      <c r="F125" s="218"/>
      <c r="G125" s="218"/>
      <c r="H125" s="218"/>
      <c r="I125" s="218">
        <v>2019</v>
      </c>
      <c r="J125" s="218">
        <v>0.49</v>
      </c>
      <c r="K125" s="220">
        <f t="shared" ref="K125:K142" si="12">DATE(I125,8,31)</f>
        <v>43708</v>
      </c>
      <c r="L125" s="23"/>
      <c r="M125" s="23"/>
      <c r="N125" s="117"/>
    </row>
    <row r="126" spans="1:15" ht="13.5" hidden="1" customHeight="1" x14ac:dyDescent="0.2">
      <c r="A126" s="221"/>
      <c r="B126" s="218"/>
      <c r="C126" s="218"/>
      <c r="D126" s="218"/>
      <c r="E126" s="218"/>
      <c r="F126" s="218"/>
      <c r="G126" s="218"/>
      <c r="H126" s="218"/>
      <c r="I126" s="218">
        <v>2020</v>
      </c>
      <c r="J126" s="218">
        <v>0.495</v>
      </c>
      <c r="K126" s="220">
        <f t="shared" si="12"/>
        <v>44074</v>
      </c>
      <c r="L126" s="23"/>
      <c r="M126" s="23"/>
      <c r="N126" s="117"/>
    </row>
    <row r="127" spans="1:15" ht="13.5" hidden="1" customHeight="1" x14ac:dyDescent="0.2">
      <c r="A127" s="221"/>
      <c r="B127" s="218"/>
      <c r="C127" s="218"/>
      <c r="D127" s="218"/>
      <c r="E127" s="218"/>
      <c r="F127" s="218"/>
      <c r="G127" s="218"/>
      <c r="H127" s="218"/>
      <c r="I127" s="218">
        <v>2021</v>
      </c>
      <c r="J127" s="218">
        <v>0.5</v>
      </c>
      <c r="K127" s="220">
        <f t="shared" si="12"/>
        <v>44439</v>
      </c>
      <c r="L127" s="23"/>
      <c r="M127" s="23"/>
      <c r="N127" s="117"/>
    </row>
    <row r="128" spans="1:15" ht="13.5" hidden="1" customHeight="1" x14ac:dyDescent="0.2">
      <c r="A128" s="221"/>
      <c r="B128" s="218"/>
      <c r="C128" s="218"/>
      <c r="D128" s="218"/>
      <c r="E128" s="218"/>
      <c r="F128" s="218"/>
      <c r="G128" s="218"/>
      <c r="H128" s="218"/>
      <c r="I128" s="218">
        <v>2022</v>
      </c>
      <c r="J128" s="218">
        <v>0.5</v>
      </c>
      <c r="K128" s="220">
        <f t="shared" si="12"/>
        <v>44804</v>
      </c>
      <c r="L128" s="23"/>
      <c r="M128" s="23"/>
      <c r="N128" s="117"/>
    </row>
    <row r="129" spans="1:17" ht="13.5" hidden="1" customHeight="1" x14ac:dyDescent="0.2">
      <c r="A129" s="221"/>
      <c r="B129" s="218"/>
      <c r="C129" s="218"/>
      <c r="D129" s="218"/>
      <c r="E129" s="218"/>
      <c r="F129" s="218"/>
      <c r="G129" s="218"/>
      <c r="H129" s="218"/>
      <c r="I129" s="218">
        <v>2023</v>
      </c>
      <c r="J129" s="218">
        <v>0.5</v>
      </c>
      <c r="K129" s="220">
        <f t="shared" si="12"/>
        <v>45169</v>
      </c>
      <c r="L129" s="23"/>
      <c r="M129" s="23"/>
      <c r="N129" s="117"/>
    </row>
    <row r="130" spans="1:17" ht="13.5" hidden="1" customHeight="1" x14ac:dyDescent="0.2">
      <c r="A130" s="221"/>
      <c r="B130" s="218"/>
      <c r="C130" s="218"/>
      <c r="D130" s="218"/>
      <c r="E130" s="218"/>
      <c r="F130" s="218"/>
      <c r="G130" s="218"/>
      <c r="H130" s="218"/>
      <c r="I130" s="218">
        <v>2024</v>
      </c>
      <c r="J130" s="218">
        <v>0.5</v>
      </c>
      <c r="K130" s="220">
        <f t="shared" si="12"/>
        <v>45535</v>
      </c>
      <c r="L130" s="23"/>
      <c r="M130" s="23"/>
      <c r="N130" s="117"/>
    </row>
    <row r="131" spans="1:17" ht="13.5" hidden="1" customHeight="1" x14ac:dyDescent="0.2">
      <c r="A131" s="221"/>
      <c r="B131" s="218"/>
      <c r="C131" s="218"/>
      <c r="D131" s="218"/>
      <c r="E131" s="218"/>
      <c r="F131" s="218"/>
      <c r="G131" s="218"/>
      <c r="H131" s="218"/>
      <c r="I131" s="218">
        <v>2025</v>
      </c>
      <c r="J131" s="218">
        <v>0.5</v>
      </c>
      <c r="K131" s="220">
        <f t="shared" si="12"/>
        <v>45900</v>
      </c>
      <c r="L131" s="23"/>
      <c r="M131" s="23"/>
      <c r="N131" s="117"/>
    </row>
    <row r="132" spans="1:17" ht="18" hidden="1" customHeight="1" x14ac:dyDescent="0.2">
      <c r="A132" s="218"/>
      <c r="B132" s="218"/>
      <c r="C132" s="218"/>
      <c r="D132" s="218"/>
      <c r="E132" s="218"/>
      <c r="F132" s="218"/>
      <c r="G132" s="218"/>
      <c r="H132" s="218"/>
      <c r="I132" s="218">
        <v>2026</v>
      </c>
      <c r="J132" s="218">
        <v>0.5</v>
      </c>
      <c r="K132" s="220">
        <f t="shared" si="12"/>
        <v>46265</v>
      </c>
      <c r="L132" s="124"/>
      <c r="M132" s="124"/>
      <c r="N132" s="124"/>
      <c r="O132" s="124"/>
      <c r="P132" s="31"/>
    </row>
    <row r="133" spans="1:17" ht="18" hidden="1" customHeight="1" x14ac:dyDescent="0.2">
      <c r="A133" s="218"/>
      <c r="B133" s="218"/>
      <c r="C133" s="218"/>
      <c r="D133" s="218"/>
      <c r="E133" s="218"/>
      <c r="F133" s="218"/>
      <c r="G133" s="218"/>
      <c r="H133" s="218"/>
      <c r="I133" s="218">
        <v>2027</v>
      </c>
      <c r="J133" s="218">
        <v>0.5</v>
      </c>
      <c r="K133" s="220">
        <f t="shared" si="12"/>
        <v>46630</v>
      </c>
      <c r="L133" s="124"/>
      <c r="M133" s="124"/>
      <c r="N133" s="124"/>
      <c r="O133" s="124"/>
      <c r="P133" s="31"/>
    </row>
    <row r="134" spans="1:17" ht="18" hidden="1" customHeight="1" x14ac:dyDescent="0.2">
      <c r="A134" s="218"/>
      <c r="B134" s="218"/>
      <c r="C134" s="218"/>
      <c r="D134" s="218"/>
      <c r="E134" s="218"/>
      <c r="F134" s="218"/>
      <c r="G134" s="218"/>
      <c r="H134" s="218"/>
      <c r="I134" s="218">
        <v>2028</v>
      </c>
      <c r="J134" s="218">
        <v>0.5</v>
      </c>
      <c r="K134" s="220">
        <f t="shared" si="12"/>
        <v>46996</v>
      </c>
      <c r="L134" s="124"/>
      <c r="M134" s="124"/>
      <c r="N134" s="124"/>
      <c r="O134" s="124"/>
      <c r="P134" s="31"/>
    </row>
    <row r="135" spans="1:17" ht="18" hidden="1" customHeight="1" x14ac:dyDescent="0.2">
      <c r="A135" s="218"/>
      <c r="B135" s="218"/>
      <c r="C135" s="218"/>
      <c r="D135" s="218"/>
      <c r="E135" s="218"/>
      <c r="F135" s="218"/>
      <c r="G135" s="218"/>
      <c r="H135" s="218"/>
      <c r="I135" s="218">
        <v>2029</v>
      </c>
      <c r="J135" s="218">
        <v>0.5</v>
      </c>
      <c r="K135" s="220">
        <f t="shared" si="12"/>
        <v>47361</v>
      </c>
      <c r="L135" s="124"/>
      <c r="M135" s="124"/>
      <c r="N135" s="124"/>
      <c r="O135" s="124"/>
      <c r="P135" s="31"/>
    </row>
    <row r="136" spans="1:17" ht="18" hidden="1" customHeight="1" x14ac:dyDescent="0.2">
      <c r="A136" s="218"/>
      <c r="B136" s="218"/>
      <c r="C136" s="218"/>
      <c r="D136" s="218"/>
      <c r="E136" s="218"/>
      <c r="F136" s="218"/>
      <c r="G136" s="218"/>
      <c r="H136" s="218"/>
      <c r="I136" s="218">
        <v>2030</v>
      </c>
      <c r="J136" s="218">
        <v>0.5</v>
      </c>
      <c r="K136" s="220">
        <f t="shared" si="12"/>
        <v>47726</v>
      </c>
      <c r="L136" s="124"/>
      <c r="M136" s="124"/>
      <c r="N136" s="124"/>
      <c r="O136" s="124"/>
      <c r="P136" s="31"/>
    </row>
    <row r="137" spans="1:17" ht="18" hidden="1" customHeight="1" x14ac:dyDescent="0.2">
      <c r="A137" s="218"/>
      <c r="B137" s="218"/>
      <c r="C137" s="218"/>
      <c r="D137" s="218"/>
      <c r="E137" s="218"/>
      <c r="F137" s="218"/>
      <c r="G137" s="218"/>
      <c r="H137" s="218"/>
      <c r="I137" s="218">
        <v>2031</v>
      </c>
      <c r="J137" s="218">
        <v>0.5</v>
      </c>
      <c r="K137" s="220">
        <f t="shared" si="12"/>
        <v>48091</v>
      </c>
      <c r="L137" s="124"/>
      <c r="M137" s="124"/>
      <c r="N137" s="124"/>
      <c r="O137" s="124"/>
      <c r="P137" s="31"/>
    </row>
    <row r="138" spans="1:17" ht="18" hidden="1" customHeight="1" x14ac:dyDescent="0.2">
      <c r="A138" s="218"/>
      <c r="B138" s="218"/>
      <c r="C138" s="218"/>
      <c r="D138" s="218"/>
      <c r="E138" s="218"/>
      <c r="F138" s="218"/>
      <c r="G138" s="218"/>
      <c r="H138" s="218"/>
      <c r="I138" s="218">
        <v>2032</v>
      </c>
      <c r="J138" s="218">
        <v>0.5</v>
      </c>
      <c r="K138" s="220">
        <f t="shared" si="12"/>
        <v>48457</v>
      </c>
      <c r="L138" s="124"/>
      <c r="M138" s="124"/>
      <c r="N138" s="124"/>
      <c r="O138" s="124"/>
      <c r="P138" s="31"/>
    </row>
    <row r="139" spans="1:17" ht="18" hidden="1" customHeight="1" x14ac:dyDescent="0.2">
      <c r="A139" s="218"/>
      <c r="B139" s="218"/>
      <c r="C139" s="218"/>
      <c r="D139" s="218"/>
      <c r="E139" s="218"/>
      <c r="F139" s="218"/>
      <c r="G139" s="218"/>
      <c r="H139" s="218"/>
      <c r="I139" s="218">
        <v>2033</v>
      </c>
      <c r="J139" s="218">
        <v>0.5</v>
      </c>
      <c r="K139" s="220">
        <f t="shared" si="12"/>
        <v>48822</v>
      </c>
      <c r="L139" s="124"/>
      <c r="M139" s="124"/>
      <c r="N139" s="124"/>
      <c r="O139" s="124"/>
      <c r="P139" s="31"/>
    </row>
    <row r="140" spans="1:17" ht="18" hidden="1" customHeight="1" x14ac:dyDescent="0.2">
      <c r="A140" s="218"/>
      <c r="B140" s="218"/>
      <c r="C140" s="218"/>
      <c r="D140" s="218"/>
      <c r="E140" s="218"/>
      <c r="F140" s="218"/>
      <c r="G140" s="218"/>
      <c r="H140" s="218"/>
      <c r="I140" s="218">
        <v>2034</v>
      </c>
      <c r="J140" s="218">
        <v>0.5</v>
      </c>
      <c r="K140" s="220">
        <f t="shared" si="12"/>
        <v>49187</v>
      </c>
      <c r="L140" s="124"/>
      <c r="M140" s="124"/>
      <c r="N140" s="124"/>
      <c r="O140" s="124"/>
      <c r="P140" s="31"/>
    </row>
    <row r="141" spans="1:17" ht="18" hidden="1" customHeight="1" x14ac:dyDescent="0.2">
      <c r="A141" s="218"/>
      <c r="B141" s="218"/>
      <c r="C141" s="218"/>
      <c r="D141" s="218"/>
      <c r="E141" s="218"/>
      <c r="F141" s="218"/>
      <c r="G141" s="218"/>
      <c r="H141" s="218"/>
      <c r="I141" s="218">
        <v>2035</v>
      </c>
      <c r="J141" s="218">
        <v>0.5</v>
      </c>
      <c r="K141" s="220">
        <f t="shared" si="12"/>
        <v>49552</v>
      </c>
      <c r="L141" s="124"/>
      <c r="M141" s="124"/>
      <c r="N141" s="124"/>
      <c r="O141" s="124"/>
      <c r="P141" s="31"/>
    </row>
    <row r="142" spans="1:17" ht="18" hidden="1" customHeight="1" x14ac:dyDescent="0.2">
      <c r="A142" s="218"/>
      <c r="B142" s="218"/>
      <c r="C142" s="218"/>
      <c r="D142" s="218"/>
      <c r="E142" s="218"/>
      <c r="F142" s="218"/>
      <c r="G142" s="218"/>
      <c r="H142" s="218"/>
      <c r="I142" s="218">
        <v>2036</v>
      </c>
      <c r="J142" s="218">
        <v>0.5</v>
      </c>
      <c r="K142" s="220">
        <f t="shared" si="12"/>
        <v>49918</v>
      </c>
      <c r="L142" s="124"/>
      <c r="M142" s="124"/>
      <c r="N142" s="124"/>
      <c r="O142" s="124"/>
      <c r="P142" s="31"/>
    </row>
    <row r="143" spans="1:17" ht="18" customHeight="1" thickBot="1" x14ac:dyDescent="0.25">
      <c r="A143" s="544"/>
      <c r="B143" s="544"/>
      <c r="C143" s="544"/>
      <c r="D143" s="544"/>
      <c r="E143" s="544"/>
      <c r="F143" s="544"/>
      <c r="G143" s="544"/>
      <c r="H143" s="544"/>
      <c r="I143" s="544"/>
      <c r="J143" s="544"/>
      <c r="K143" s="544"/>
      <c r="L143" s="544"/>
      <c r="M143" s="544"/>
      <c r="N143" s="544"/>
      <c r="O143" s="544"/>
      <c r="P143" s="31"/>
    </row>
    <row r="144" spans="1:17" ht="13.5" customHeight="1" x14ac:dyDescent="0.2">
      <c r="A144" s="414" t="s">
        <v>168</v>
      </c>
      <c r="B144" s="534" t="s">
        <v>169</v>
      </c>
      <c r="C144" s="535"/>
      <c r="D144" s="535"/>
      <c r="E144" s="535"/>
      <c r="F144" s="536"/>
      <c r="G144" s="427" t="s">
        <v>170</v>
      </c>
      <c r="H144" s="428"/>
      <c r="I144" s="428"/>
      <c r="J144" s="428"/>
      <c r="K144" s="429"/>
      <c r="L144" s="464" t="s">
        <v>171</v>
      </c>
      <c r="M144" s="465"/>
      <c r="N144" s="466"/>
      <c r="O144" s="337">
        <f>O155-H121</f>
        <v>0</v>
      </c>
      <c r="P144" s="150"/>
      <c r="Q144" s="1" t="s">
        <v>172</v>
      </c>
    </row>
    <row r="145" spans="1:17" ht="13.5" customHeight="1" x14ac:dyDescent="0.2">
      <c r="A145" s="415"/>
      <c r="B145" s="537"/>
      <c r="C145" s="538"/>
      <c r="D145" s="538"/>
      <c r="E145" s="538"/>
      <c r="F145" s="539"/>
      <c r="G145" s="430"/>
      <c r="H145" s="431"/>
      <c r="I145" s="431"/>
      <c r="J145" s="431"/>
      <c r="K145" s="432"/>
      <c r="L145" s="476" t="s">
        <v>173</v>
      </c>
      <c r="M145" s="477"/>
      <c r="N145" s="478"/>
      <c r="O145" s="338">
        <f>H121</f>
        <v>0</v>
      </c>
      <c r="P145" s="150"/>
    </row>
    <row r="146" spans="1:17" ht="13.5" customHeight="1" x14ac:dyDescent="0.2">
      <c r="A146" s="415"/>
      <c r="B146" s="369" t="s">
        <v>174</v>
      </c>
      <c r="C146" s="370"/>
      <c r="D146" s="370"/>
      <c r="E146" s="370"/>
      <c r="F146" s="371"/>
      <c r="G146" s="430"/>
      <c r="H146" s="431"/>
      <c r="I146" s="431"/>
      <c r="J146" s="431"/>
      <c r="K146" s="432"/>
      <c r="L146" s="376" t="s">
        <v>175</v>
      </c>
      <c r="M146" s="377"/>
      <c r="N146" s="378"/>
      <c r="O146" s="339">
        <f>O155-O87-O83-O92-O99+K121</f>
        <v>0</v>
      </c>
      <c r="P146" s="150"/>
      <c r="Q146" s="225" t="s">
        <v>176</v>
      </c>
    </row>
    <row r="147" spans="1:17" ht="13.5" customHeight="1" x14ac:dyDescent="0.3">
      <c r="A147" s="415"/>
      <c r="B147" s="226"/>
      <c r="C147" s="118" t="s">
        <v>177</v>
      </c>
      <c r="D147" s="118"/>
      <c r="E147" s="118"/>
      <c r="F147" s="227">
        <v>0.5</v>
      </c>
      <c r="G147" s="430"/>
      <c r="H147" s="431"/>
      <c r="I147" s="431"/>
      <c r="J147" s="431"/>
      <c r="K147" s="432"/>
      <c r="L147" s="153" t="s">
        <v>178</v>
      </c>
      <c r="M147" s="113">
        <f>VLOOKUP($G$123,$I$124:$J$142,2,FALSE)</f>
        <v>0.5</v>
      </c>
      <c r="N147" s="250" t="s">
        <v>179</v>
      </c>
      <c r="O147" s="340">
        <f>IF($L$7-VLOOKUP($G$123,$I$124:$K$142,3,FALSE)&lt;0,$O$146,ROUND((1-($L$7-VLOOKUP($G$123,$I$124:$K$142,3,FALSE))/($L$7+1-$L$5))*$O$146,0))</f>
        <v>0</v>
      </c>
      <c r="P147" s="33"/>
      <c r="Q147" s="108"/>
    </row>
    <row r="148" spans="1:17" ht="13.5" customHeight="1" x14ac:dyDescent="0.3">
      <c r="A148" s="415"/>
      <c r="B148" s="226"/>
      <c r="C148" s="118" t="s">
        <v>180</v>
      </c>
      <c r="D148" s="118"/>
      <c r="E148" s="118"/>
      <c r="F148" s="227">
        <v>0.5</v>
      </c>
      <c r="G148" s="430"/>
      <c r="H148" s="431"/>
      <c r="I148" s="431"/>
      <c r="J148" s="431"/>
      <c r="K148" s="432"/>
      <c r="L148" s="154" t="s">
        <v>181</v>
      </c>
      <c r="M148" s="113">
        <f>VLOOKUP($G$123+1,$I$124:$J$142,2,FALSE)</f>
        <v>0.5</v>
      </c>
      <c r="N148" s="250" t="s">
        <v>182</v>
      </c>
      <c r="O148" s="340">
        <f>O146-O147</f>
        <v>0</v>
      </c>
      <c r="P148" s="33"/>
    </row>
    <row r="149" spans="1:17" ht="13.5" customHeight="1" x14ac:dyDescent="0.2">
      <c r="A149" s="415"/>
      <c r="B149" s="226"/>
      <c r="C149" s="118" t="s">
        <v>183</v>
      </c>
      <c r="D149" s="118"/>
      <c r="E149" s="118"/>
      <c r="F149" s="227">
        <v>0.36</v>
      </c>
      <c r="G149" s="430"/>
      <c r="H149" s="431"/>
      <c r="I149" s="431"/>
      <c r="J149" s="431"/>
      <c r="K149" s="432"/>
      <c r="L149" s="528" t="s">
        <v>184</v>
      </c>
      <c r="M149" s="529"/>
      <c r="N149" s="530"/>
      <c r="O149" s="341">
        <f>ROUND(M147*O147,0)</f>
        <v>0</v>
      </c>
      <c r="P149" s="155"/>
    </row>
    <row r="150" spans="1:17" ht="13.5" customHeight="1" x14ac:dyDescent="0.2">
      <c r="A150" s="415"/>
      <c r="B150" s="228"/>
      <c r="C150" s="229"/>
      <c r="D150" s="229"/>
      <c r="E150" s="229"/>
      <c r="F150" s="230"/>
      <c r="G150" s="433"/>
      <c r="H150" s="434"/>
      <c r="I150" s="434"/>
      <c r="J150" s="434"/>
      <c r="K150" s="435"/>
      <c r="L150" s="554" t="s">
        <v>185</v>
      </c>
      <c r="M150" s="555"/>
      <c r="N150" s="556"/>
      <c r="O150" s="342">
        <f>ROUND(M148*O148,0)</f>
        <v>0</v>
      </c>
      <c r="P150" s="155"/>
    </row>
    <row r="151" spans="1:17" ht="13.5" customHeight="1" x14ac:dyDescent="0.2">
      <c r="A151" s="415"/>
      <c r="B151" s="369" t="s">
        <v>186</v>
      </c>
      <c r="C151" s="370"/>
      <c r="D151" s="370"/>
      <c r="E151" s="370"/>
      <c r="F151" s="371"/>
      <c r="G151" s="545" t="s">
        <v>187</v>
      </c>
      <c r="H151" s="546"/>
      <c r="I151" s="546"/>
      <c r="J151" s="546"/>
      <c r="K151" s="546"/>
      <c r="L151" s="546"/>
      <c r="M151" s="546"/>
      <c r="N151" s="546"/>
      <c r="O151" s="547"/>
      <c r="P151" s="155"/>
    </row>
    <row r="152" spans="1:17" ht="13.5" customHeight="1" x14ac:dyDescent="0.2">
      <c r="A152" s="415"/>
      <c r="B152" s="226"/>
      <c r="C152" s="118" t="s">
        <v>188</v>
      </c>
      <c r="D152" s="118"/>
      <c r="E152" s="118"/>
      <c r="F152" s="227">
        <v>0.26</v>
      </c>
      <c r="G152" s="548"/>
      <c r="H152" s="549"/>
      <c r="I152" s="549"/>
      <c r="J152" s="549"/>
      <c r="K152" s="549"/>
      <c r="L152" s="549"/>
      <c r="M152" s="549"/>
      <c r="N152" s="549"/>
      <c r="O152" s="550"/>
      <c r="P152" s="155"/>
    </row>
    <row r="153" spans="1:17" ht="13.5" customHeight="1" thickBot="1" x14ac:dyDescent="0.25">
      <c r="A153" s="416"/>
      <c r="B153" s="226"/>
      <c r="C153" s="118"/>
      <c r="D153" s="118"/>
      <c r="E153" s="118"/>
      <c r="F153" s="227"/>
      <c r="G153" s="551"/>
      <c r="H153" s="552"/>
      <c r="I153" s="552"/>
      <c r="J153" s="552"/>
      <c r="K153" s="552"/>
      <c r="L153" s="552"/>
      <c r="M153" s="552"/>
      <c r="N153" s="552"/>
      <c r="O153" s="553"/>
      <c r="P153" s="155"/>
    </row>
    <row r="154" spans="1:17" ht="18" customHeight="1" thickBot="1" x14ac:dyDescent="0.25">
      <c r="A154" s="417"/>
      <c r="B154" s="417"/>
      <c r="C154" s="417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31"/>
    </row>
    <row r="155" spans="1:17" ht="17.100000000000001" customHeight="1" x14ac:dyDescent="0.25">
      <c r="A155" s="398" t="s">
        <v>189</v>
      </c>
      <c r="B155" s="399"/>
      <c r="C155" s="404" t="s">
        <v>190</v>
      </c>
      <c r="D155" s="405"/>
      <c r="E155" s="405"/>
      <c r="F155" s="410"/>
      <c r="G155" s="411"/>
      <c r="H155" s="17"/>
      <c r="I155" s="414" t="s">
        <v>191</v>
      </c>
      <c r="J155" s="438" t="str">
        <f>K3</f>
        <v>Period 2</v>
      </c>
      <c r="K155" s="453" t="s">
        <v>192</v>
      </c>
      <c r="L155" s="454"/>
      <c r="M155" s="454"/>
      <c r="N155" s="455"/>
      <c r="O155" s="343">
        <f>O37+O83+O66+O87+O69+O99+O92</f>
        <v>0</v>
      </c>
      <c r="P155" s="156"/>
    </row>
    <row r="156" spans="1:17" ht="17.100000000000001" customHeight="1" x14ac:dyDescent="0.25">
      <c r="A156" s="400"/>
      <c r="B156" s="401"/>
      <c r="C156" s="407"/>
      <c r="D156" s="408"/>
      <c r="E156" s="408"/>
      <c r="F156" s="412"/>
      <c r="G156" s="413"/>
      <c r="H156" s="17"/>
      <c r="I156" s="415"/>
      <c r="J156" s="439"/>
      <c r="K156" s="444" t="s">
        <v>193</v>
      </c>
      <c r="L156" s="445"/>
      <c r="M156" s="445"/>
      <c r="N156" s="446"/>
      <c r="O156" s="344">
        <f>O149+O150</f>
        <v>0</v>
      </c>
      <c r="P156" s="156"/>
      <c r="Q156" s="23"/>
    </row>
    <row r="157" spans="1:17" ht="17.100000000000001" customHeight="1" thickBot="1" x14ac:dyDescent="0.3">
      <c r="A157" s="402"/>
      <c r="B157" s="403"/>
      <c r="C157" s="441" t="s">
        <v>194</v>
      </c>
      <c r="D157" s="442"/>
      <c r="E157" s="443"/>
      <c r="F157" s="394" t="str">
        <f>IF(O158&lt;&gt;0,F155/O158,"-")</f>
        <v>-</v>
      </c>
      <c r="G157" s="395"/>
      <c r="H157" s="17"/>
      <c r="I157" s="415"/>
      <c r="J157" s="439"/>
      <c r="K157" s="447" t="s">
        <v>195</v>
      </c>
      <c r="L157" s="448"/>
      <c r="M157" s="448"/>
      <c r="N157" s="449"/>
      <c r="O157" s="345">
        <f>O155+O156</f>
        <v>0</v>
      </c>
      <c r="P157" s="156"/>
    </row>
    <row r="158" spans="1:17" ht="17.100000000000001" customHeight="1" thickBot="1" x14ac:dyDescent="0.3">
      <c r="A158" s="396"/>
      <c r="B158" s="396"/>
      <c r="C158" s="396"/>
      <c r="D158" s="396"/>
      <c r="E158" s="396"/>
      <c r="F158" s="396"/>
      <c r="G158" s="396"/>
      <c r="H158" s="397"/>
      <c r="I158" s="416"/>
      <c r="J158" s="440"/>
      <c r="K158" s="450" t="s">
        <v>196</v>
      </c>
      <c r="L158" s="451"/>
      <c r="M158" s="451"/>
      <c r="N158" s="452"/>
      <c r="O158" s="346">
        <f>O157+F155</f>
        <v>0</v>
      </c>
      <c r="P158" s="156"/>
    </row>
  </sheetData>
  <sheetProtection algorithmName="SHA-512" hashValue="r9bU+rIqw50JRnRhOXKEo6x3uMP8UmLJZxlqLvDrK+/H3GuyMiuQixC2CakPnfOZ8te8OYXBlfsQ8Uup4D+IoQ==" saltValue="+xMtc1ky7gw+//h16X76ZA==" spinCount="100000" sheet="1" formatRows="0" insertRows="0"/>
  <mergeCells count="224">
    <mergeCell ref="A5:C6"/>
    <mergeCell ref="D5:F6"/>
    <mergeCell ref="K5:K6"/>
    <mergeCell ref="L5:L6"/>
    <mergeCell ref="A7:C10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D7:J10"/>
    <mergeCell ref="A36:O36"/>
    <mergeCell ref="A37:A81"/>
    <mergeCell ref="B38:C38"/>
    <mergeCell ref="G38:H38"/>
    <mergeCell ref="B39:C39"/>
    <mergeCell ref="G39:H39"/>
    <mergeCell ref="B40:C40"/>
    <mergeCell ref="G40:H40"/>
    <mergeCell ref="B41:C41"/>
    <mergeCell ref="B45:C45"/>
    <mergeCell ref="G45:H45"/>
    <mergeCell ref="B46:C46"/>
    <mergeCell ref="G46:H46"/>
    <mergeCell ref="B47:C47"/>
    <mergeCell ref="G47:H47"/>
    <mergeCell ref="G41:H41"/>
    <mergeCell ref="B42:C42"/>
    <mergeCell ref="G42:H42"/>
    <mergeCell ref="B43:C43"/>
    <mergeCell ref="G43:H43"/>
    <mergeCell ref="B44:C44"/>
    <mergeCell ref="G44:H44"/>
    <mergeCell ref="G52:H52"/>
    <mergeCell ref="G53:H53"/>
    <mergeCell ref="G54:H54"/>
    <mergeCell ref="G55:H55"/>
    <mergeCell ref="G56:H56"/>
    <mergeCell ref="G57:H57"/>
    <mergeCell ref="B48:C48"/>
    <mergeCell ref="G48:H48"/>
    <mergeCell ref="B49:C49"/>
    <mergeCell ref="G49:H49"/>
    <mergeCell ref="G50:H50"/>
    <mergeCell ref="G51:H51"/>
    <mergeCell ref="B50:C50"/>
    <mergeCell ref="B51:C51"/>
    <mergeCell ref="B52:C52"/>
    <mergeCell ref="B53:C53"/>
    <mergeCell ref="B54:C54"/>
    <mergeCell ref="B55:C55"/>
    <mergeCell ref="B56:C56"/>
    <mergeCell ref="B57:C57"/>
    <mergeCell ref="B64:C64"/>
    <mergeCell ref="G64:H64"/>
    <mergeCell ref="B65:C65"/>
    <mergeCell ref="G65:H65"/>
    <mergeCell ref="G58:H58"/>
    <mergeCell ref="G59:H59"/>
    <mergeCell ref="G60:H60"/>
    <mergeCell ref="G61:H61"/>
    <mergeCell ref="G62:H62"/>
    <mergeCell ref="G63:H63"/>
    <mergeCell ref="B58:C58"/>
    <mergeCell ref="B59:C59"/>
    <mergeCell ref="B60:C60"/>
    <mergeCell ref="B61:C61"/>
    <mergeCell ref="B62:C62"/>
    <mergeCell ref="B63:C63"/>
    <mergeCell ref="B78:N78"/>
    <mergeCell ref="B79:N79"/>
    <mergeCell ref="B80:N80"/>
    <mergeCell ref="B81:N81"/>
    <mergeCell ref="B66:M66"/>
    <mergeCell ref="B67:N67"/>
    <mergeCell ref="B68:N68"/>
    <mergeCell ref="B69:M69"/>
    <mergeCell ref="B70:N70"/>
    <mergeCell ref="B71:M71"/>
    <mergeCell ref="B72:M72"/>
    <mergeCell ref="B73:M73"/>
    <mergeCell ref="B74:M74"/>
    <mergeCell ref="B75:M75"/>
    <mergeCell ref="B76:M76"/>
    <mergeCell ref="B77:N77"/>
    <mergeCell ref="B91:N91"/>
    <mergeCell ref="B92:M92"/>
    <mergeCell ref="B93:N93"/>
    <mergeCell ref="B94:N94"/>
    <mergeCell ref="B95:N95"/>
    <mergeCell ref="B96:N96"/>
    <mergeCell ref="A82:O82"/>
    <mergeCell ref="A83:A97"/>
    <mergeCell ref="B83:M83"/>
    <mergeCell ref="B84:N84"/>
    <mergeCell ref="B85:N85"/>
    <mergeCell ref="B86:N86"/>
    <mergeCell ref="B87:M87"/>
    <mergeCell ref="B88:N88"/>
    <mergeCell ref="B89:N89"/>
    <mergeCell ref="B90:N90"/>
    <mergeCell ref="B97:N97"/>
    <mergeCell ref="A99:A121"/>
    <mergeCell ref="B99:M99"/>
    <mergeCell ref="B100:B121"/>
    <mergeCell ref="C101:E101"/>
    <mergeCell ref="C103:E103"/>
    <mergeCell ref="F103:G103"/>
    <mergeCell ref="H103:I103"/>
    <mergeCell ref="N103:O103"/>
    <mergeCell ref="C104:E104"/>
    <mergeCell ref="F104:G104"/>
    <mergeCell ref="H104:I104"/>
    <mergeCell ref="N104:O104"/>
    <mergeCell ref="F101:G101"/>
    <mergeCell ref="H101:I101"/>
    <mergeCell ref="N101:O101"/>
    <mergeCell ref="C102:E102"/>
    <mergeCell ref="F102:G102"/>
    <mergeCell ref="H102:I102"/>
    <mergeCell ref="N102:O102"/>
    <mergeCell ref="C107:E107"/>
    <mergeCell ref="C105:E105"/>
    <mergeCell ref="F105:G105"/>
    <mergeCell ref="H105:I105"/>
    <mergeCell ref="N105:O105"/>
    <mergeCell ref="C106:E106"/>
    <mergeCell ref="F106:G106"/>
    <mergeCell ref="H106:I106"/>
    <mergeCell ref="N106:O106"/>
    <mergeCell ref="B98:O98"/>
    <mergeCell ref="C109:E109"/>
    <mergeCell ref="F109:G109"/>
    <mergeCell ref="H109:I109"/>
    <mergeCell ref="N109:O109"/>
    <mergeCell ref="F100:G100"/>
    <mergeCell ref="H100:I100"/>
    <mergeCell ref="N100:O100"/>
    <mergeCell ref="C110:E110"/>
    <mergeCell ref="F110:G110"/>
    <mergeCell ref="H110:I110"/>
    <mergeCell ref="N110:O110"/>
    <mergeCell ref="F107:G107"/>
    <mergeCell ref="H107:I107"/>
    <mergeCell ref="N107:O107"/>
    <mergeCell ref="C108:E108"/>
    <mergeCell ref="F108:G108"/>
    <mergeCell ref="H108:I108"/>
    <mergeCell ref="N108:O108"/>
    <mergeCell ref="C113:E113"/>
    <mergeCell ref="F113:G113"/>
    <mergeCell ref="H113:I113"/>
    <mergeCell ref="N113:O113"/>
    <mergeCell ref="C114:E114"/>
    <mergeCell ref="F114:G114"/>
    <mergeCell ref="H114:I114"/>
    <mergeCell ref="N114:O114"/>
    <mergeCell ref="C111:E111"/>
    <mergeCell ref="F111:G111"/>
    <mergeCell ref="H111:I111"/>
    <mergeCell ref="N111:O111"/>
    <mergeCell ref="C112:E112"/>
    <mergeCell ref="F112:G112"/>
    <mergeCell ref="H112:I112"/>
    <mergeCell ref="N112:O112"/>
    <mergeCell ref="C117:E117"/>
    <mergeCell ref="F117:G117"/>
    <mergeCell ref="H117:I117"/>
    <mergeCell ref="N117:O117"/>
    <mergeCell ref="C118:E118"/>
    <mergeCell ref="F118:G118"/>
    <mergeCell ref="H118:I118"/>
    <mergeCell ref="N118:O118"/>
    <mergeCell ref="C115:E115"/>
    <mergeCell ref="F115:G115"/>
    <mergeCell ref="H115:I115"/>
    <mergeCell ref="N115:O115"/>
    <mergeCell ref="C116:E116"/>
    <mergeCell ref="F116:G116"/>
    <mergeCell ref="H116:I116"/>
    <mergeCell ref="N116:O116"/>
    <mergeCell ref="L145:N145"/>
    <mergeCell ref="G151:O153"/>
    <mergeCell ref="L149:N149"/>
    <mergeCell ref="L150:N150"/>
    <mergeCell ref="G144:K150"/>
    <mergeCell ref="C119:E119"/>
    <mergeCell ref="F119:G119"/>
    <mergeCell ref="H119:I119"/>
    <mergeCell ref="N119:O119"/>
    <mergeCell ref="C120:E120"/>
    <mergeCell ref="F120:G120"/>
    <mergeCell ref="H120:I120"/>
    <mergeCell ref="N120:O120"/>
    <mergeCell ref="B146:F146"/>
    <mergeCell ref="B151:F151"/>
    <mergeCell ref="K37:L37"/>
    <mergeCell ref="B37:J37"/>
    <mergeCell ref="K155:N155"/>
    <mergeCell ref="K156:N156"/>
    <mergeCell ref="C157:E157"/>
    <mergeCell ref="F157:G157"/>
    <mergeCell ref="K157:N157"/>
    <mergeCell ref="A158:H158"/>
    <mergeCell ref="K158:N158"/>
    <mergeCell ref="A154:O154"/>
    <mergeCell ref="A155:B157"/>
    <mergeCell ref="C155:E156"/>
    <mergeCell ref="F155:G156"/>
    <mergeCell ref="I155:I158"/>
    <mergeCell ref="J155:J158"/>
    <mergeCell ref="L146:N146"/>
    <mergeCell ref="C121:E121"/>
    <mergeCell ref="F121:G121"/>
    <mergeCell ref="H121:I121"/>
    <mergeCell ref="A143:O143"/>
    <mergeCell ref="A144:A153"/>
    <mergeCell ref="B144:F144"/>
    <mergeCell ref="L144:N144"/>
    <mergeCell ref="B145:F145"/>
  </mergeCells>
  <conditionalFormatting sqref="J39:J65">
    <cfRule type="expression" dxfId="8" priority="1">
      <formula>E39&lt;&gt;"Hourly"</formula>
    </cfRule>
  </conditionalFormatting>
  <dataValidations count="1">
    <dataValidation type="list" allowBlank="1" showInputMessage="1" showErrorMessage="1" sqref="F39:F65" xr:uid="{00000000-0002-0000-0300-000000000000}">
      <formula1>INDIRECT(E39)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'Per1'!$B$12:$B$18</xm:f>
          </x14:formula1>
          <xm:sqref>E39:E65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58"/>
  <sheetViews>
    <sheetView topLeftCell="A77" zoomScaleNormal="100" zoomScalePageLayoutView="85" workbookViewId="0">
      <selection activeCell="P101" sqref="P101"/>
    </sheetView>
  </sheetViews>
  <sheetFormatPr defaultColWidth="8.7109375" defaultRowHeight="12.75" x14ac:dyDescent="0.2"/>
  <cols>
    <col min="1" max="2" width="4.28515625" style="1" customWidth="1"/>
    <col min="3" max="3" width="23.7109375" style="1" customWidth="1"/>
    <col min="4" max="4" width="9.7109375" style="1" customWidth="1"/>
    <col min="5" max="5" width="14.7109375" style="1" customWidth="1"/>
    <col min="6" max="6" width="18.7109375" style="1" customWidth="1"/>
    <col min="7" max="7" width="6.42578125" style="1" customWidth="1"/>
    <col min="8" max="8" width="9" style="1" customWidth="1"/>
    <col min="9" max="9" width="8.7109375" style="1" customWidth="1"/>
    <col min="10" max="10" width="11.7109375" style="2" customWidth="1"/>
    <col min="11" max="11" width="13" style="2" customWidth="1"/>
    <col min="12" max="13" width="12.7109375" style="1" customWidth="1"/>
    <col min="14" max="14" width="18" style="1" customWidth="1"/>
    <col min="15" max="15" width="17.28515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7109375" style="1"/>
  </cols>
  <sheetData>
    <row r="1" spans="1:18" s="3" customFormat="1" ht="22.15" customHeight="1" x14ac:dyDescent="0.2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126"/>
    </row>
    <row r="2" spans="1:18" s="3" customFormat="1" ht="35.25" customHeight="1" thickBot="1" x14ac:dyDescent="0.3">
      <c r="A2" s="512" t="s">
        <v>60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127"/>
    </row>
    <row r="3" spans="1:18" s="3" customFormat="1" ht="12" customHeight="1" x14ac:dyDescent="0.25">
      <c r="A3" s="514" t="s">
        <v>62</v>
      </c>
      <c r="B3" s="515"/>
      <c r="C3" s="515"/>
      <c r="D3" s="571">
        <f>'Per2'!D3</f>
        <v>0</v>
      </c>
      <c r="E3" s="571"/>
      <c r="F3" s="571"/>
      <c r="G3" s="349"/>
      <c r="H3" s="351"/>
      <c r="I3" s="351"/>
      <c r="J3" s="351"/>
      <c r="K3" s="460" t="s">
        <v>200</v>
      </c>
      <c r="L3" s="460"/>
      <c r="M3" s="516" t="s">
        <v>201</v>
      </c>
      <c r="N3" s="517"/>
      <c r="O3" s="518"/>
      <c r="P3" s="28"/>
      <c r="Q3" s="14" t="s">
        <v>66</v>
      </c>
    </row>
    <row r="4" spans="1:18" ht="18.600000000000001" customHeight="1" thickBot="1" x14ac:dyDescent="0.3">
      <c r="A4" s="483"/>
      <c r="B4" s="484"/>
      <c r="C4" s="484"/>
      <c r="D4" s="567"/>
      <c r="E4" s="567"/>
      <c r="F4" s="567"/>
      <c r="G4" s="352"/>
      <c r="H4" s="353"/>
      <c r="I4" s="353"/>
      <c r="J4" s="353"/>
      <c r="K4" s="462"/>
      <c r="L4" s="462"/>
      <c r="M4" s="519" t="s">
        <v>65</v>
      </c>
      <c r="N4" s="520"/>
      <c r="O4" s="521"/>
      <c r="P4" s="128"/>
      <c r="Q4" s="255" t="s">
        <v>71</v>
      </c>
    </row>
    <row r="5" spans="1:18" ht="19.149999999999999" customHeight="1" thickBot="1" x14ac:dyDescent="0.3">
      <c r="A5" s="483" t="s">
        <v>67</v>
      </c>
      <c r="B5" s="484"/>
      <c r="C5" s="484"/>
      <c r="D5" s="566">
        <f>'Per2'!D5</f>
        <v>0</v>
      </c>
      <c r="E5" s="566"/>
      <c r="F5" s="566"/>
      <c r="G5" s="169"/>
      <c r="H5" s="354"/>
      <c r="I5" s="354"/>
      <c r="J5" s="355"/>
      <c r="K5" s="459" t="s">
        <v>68</v>
      </c>
      <c r="L5" s="568">
        <f>'Per2'!L7+1</f>
        <v>46266</v>
      </c>
      <c r="M5" s="129"/>
      <c r="N5" s="130" t="s">
        <v>69</v>
      </c>
      <c r="O5" s="131" t="s">
        <v>70</v>
      </c>
      <c r="P5" s="132"/>
      <c r="Q5" s="14" t="s">
        <v>73</v>
      </c>
      <c r="R5" s="133"/>
    </row>
    <row r="6" spans="1:18" ht="13.9" customHeight="1" thickTop="1" x14ac:dyDescent="0.25">
      <c r="A6" s="483"/>
      <c r="B6" s="484"/>
      <c r="C6" s="484"/>
      <c r="D6" s="567"/>
      <c r="E6" s="567"/>
      <c r="F6" s="567"/>
      <c r="G6" s="352"/>
      <c r="H6" s="354"/>
      <c r="I6" s="354"/>
      <c r="J6" s="355"/>
      <c r="K6" s="459"/>
      <c r="L6" s="569"/>
      <c r="M6" s="158" t="s">
        <v>72</v>
      </c>
      <c r="N6" s="356">
        <v>1453.34</v>
      </c>
      <c r="O6" s="357">
        <v>726.68</v>
      </c>
      <c r="P6" s="135"/>
      <c r="Q6" s="1" t="s">
        <v>77</v>
      </c>
    </row>
    <row r="7" spans="1:18" ht="12" customHeight="1" x14ac:dyDescent="0.2">
      <c r="A7" s="483" t="s">
        <v>198</v>
      </c>
      <c r="B7" s="484"/>
      <c r="C7" s="484"/>
      <c r="D7" s="572">
        <f>'Per2'!D7</f>
        <v>0</v>
      </c>
      <c r="E7" s="572"/>
      <c r="F7" s="572"/>
      <c r="G7" s="572"/>
      <c r="H7" s="572"/>
      <c r="I7" s="572"/>
      <c r="J7" s="572"/>
      <c r="K7" s="459" t="s">
        <v>75</v>
      </c>
      <c r="L7" s="570">
        <f>EDATE(L5,12)-1</f>
        <v>46630</v>
      </c>
      <c r="M7" s="136" t="s">
        <v>76</v>
      </c>
      <c r="N7" s="358">
        <v>1041.9000000000001</v>
      </c>
      <c r="O7" s="359">
        <v>520.96</v>
      </c>
      <c r="P7" s="135"/>
    </row>
    <row r="8" spans="1:18" ht="12.75" customHeight="1" x14ac:dyDescent="0.2">
      <c r="A8" s="483"/>
      <c r="B8" s="484"/>
      <c r="C8" s="484"/>
      <c r="D8" s="572"/>
      <c r="E8" s="572"/>
      <c r="F8" s="572"/>
      <c r="G8" s="572"/>
      <c r="H8" s="572"/>
      <c r="I8" s="572"/>
      <c r="J8" s="572"/>
      <c r="K8" s="459"/>
      <c r="L8" s="569"/>
      <c r="M8" s="136" t="s">
        <v>78</v>
      </c>
      <c r="N8" s="358">
        <v>1189.2</v>
      </c>
      <c r="O8" s="359">
        <v>594.6</v>
      </c>
      <c r="P8" s="135"/>
    </row>
    <row r="9" spans="1:18" ht="12.75" customHeight="1" x14ac:dyDescent="0.25">
      <c r="A9" s="483"/>
      <c r="B9" s="484"/>
      <c r="C9" s="484"/>
      <c r="D9" s="572"/>
      <c r="E9" s="572"/>
      <c r="F9" s="572"/>
      <c r="G9" s="572"/>
      <c r="H9" s="572"/>
      <c r="I9" s="572"/>
      <c r="J9" s="572"/>
      <c r="K9" s="251"/>
      <c r="L9" s="252"/>
      <c r="M9" s="253" t="s">
        <v>79</v>
      </c>
      <c r="N9" s="360">
        <v>780.24</v>
      </c>
      <c r="O9" s="361">
        <v>390.12</v>
      </c>
      <c r="P9" s="135"/>
    </row>
    <row r="10" spans="1:18" ht="12" customHeight="1" thickBot="1" x14ac:dyDescent="0.3">
      <c r="A10" s="485"/>
      <c r="B10" s="486"/>
      <c r="C10" s="486"/>
      <c r="D10" s="573"/>
      <c r="E10" s="573"/>
      <c r="F10" s="573"/>
      <c r="G10" s="573"/>
      <c r="H10" s="573"/>
      <c r="I10" s="573"/>
      <c r="J10" s="573"/>
      <c r="K10" s="120"/>
      <c r="L10" s="120"/>
      <c r="M10" s="137" t="s">
        <v>80</v>
      </c>
      <c r="N10" s="362" t="s">
        <v>81</v>
      </c>
      <c r="O10" s="363">
        <v>746.09</v>
      </c>
      <c r="P10" s="135"/>
    </row>
    <row r="11" spans="1:18" ht="13.5" hidden="1" thickBot="1" x14ac:dyDescent="0.25">
      <c r="B11" s="210"/>
      <c r="C11" s="210"/>
      <c r="D11" s="210"/>
      <c r="E11" s="279" t="s">
        <v>82</v>
      </c>
      <c r="F11" s="305" t="s">
        <v>83</v>
      </c>
      <c r="G11" s="306" t="s">
        <v>84</v>
      </c>
      <c r="H11" s="307" t="s">
        <v>85</v>
      </c>
      <c r="I11" s="211" t="s">
        <v>86</v>
      </c>
      <c r="J11" s="308" t="s">
        <v>87</v>
      </c>
      <c r="K11" s="210"/>
      <c r="L11" s="210"/>
      <c r="M11" s="210"/>
      <c r="N11" s="210" t="s">
        <v>88</v>
      </c>
      <c r="O11" s="222">
        <v>0</v>
      </c>
      <c r="P11" s="138"/>
    </row>
    <row r="12" spans="1:18" hidden="1" x14ac:dyDescent="0.2">
      <c r="B12" s="279" t="s">
        <v>82</v>
      </c>
      <c r="C12" s="275">
        <f>1/900</f>
        <v>1.1111111111111111E-3</v>
      </c>
      <c r="D12" s="213"/>
      <c r="E12" s="287" t="s">
        <v>88</v>
      </c>
      <c r="F12" s="280" t="s">
        <v>88</v>
      </c>
      <c r="G12" s="297" t="s">
        <v>88</v>
      </c>
      <c r="H12" s="298" t="s">
        <v>88</v>
      </c>
      <c r="I12" s="210" t="s">
        <v>88</v>
      </c>
      <c r="J12" s="293" t="s">
        <v>88</v>
      </c>
      <c r="K12" s="279" t="str">
        <f>B12&amp;M6</f>
        <v>FT_BE_09Emp/Family</v>
      </c>
      <c r="L12" s="273">
        <f>N6</f>
        <v>1453.34</v>
      </c>
      <c r="M12" s="274">
        <v>0.18</v>
      </c>
      <c r="N12" s="275">
        <v>100</v>
      </c>
      <c r="O12" s="210"/>
    </row>
    <row r="13" spans="1:18" hidden="1" x14ac:dyDescent="0.2">
      <c r="B13" s="283" t="s">
        <v>83</v>
      </c>
      <c r="C13" s="282">
        <f>1/1200</f>
        <v>8.3333333333333339E-4</v>
      </c>
      <c r="D13" s="213"/>
      <c r="E13" s="309" t="s">
        <v>72</v>
      </c>
      <c r="F13" s="300" t="s">
        <v>72</v>
      </c>
      <c r="G13" s="301" t="s">
        <v>72</v>
      </c>
      <c r="H13" s="298" t="s">
        <v>89</v>
      </c>
      <c r="I13" s="210"/>
      <c r="J13" s="293" t="s">
        <v>89</v>
      </c>
      <c r="K13" s="287" t="str">
        <f>B12&amp;M7</f>
        <v>FT_BE_09Emp/Child</v>
      </c>
      <c r="L13" s="294">
        <f>N7</f>
        <v>1041.9000000000001</v>
      </c>
      <c r="M13" s="277">
        <v>0.18</v>
      </c>
      <c r="N13" s="278">
        <v>100</v>
      </c>
      <c r="O13" s="210"/>
    </row>
    <row r="14" spans="1:18" hidden="1" x14ac:dyDescent="0.2">
      <c r="B14" s="284" t="s">
        <v>84</v>
      </c>
      <c r="C14" s="286">
        <f>1/1200</f>
        <v>8.3333333333333339E-4</v>
      </c>
      <c r="D14" s="213"/>
      <c r="E14" s="309" t="s">
        <v>76</v>
      </c>
      <c r="F14" s="300" t="s">
        <v>76</v>
      </c>
      <c r="G14" s="301" t="s">
        <v>76</v>
      </c>
      <c r="H14" s="298"/>
      <c r="I14" s="210"/>
      <c r="J14" s="293"/>
      <c r="K14" s="287" t="str">
        <f>B12&amp;M8</f>
        <v>FT_BE_09Emp/Spouse</v>
      </c>
      <c r="L14" s="294">
        <f>N8</f>
        <v>1189.2</v>
      </c>
      <c r="M14" s="277">
        <v>0.18</v>
      </c>
      <c r="N14" s="278">
        <v>100</v>
      </c>
      <c r="O14" s="210"/>
    </row>
    <row r="15" spans="1:18" hidden="1" x14ac:dyDescent="0.2">
      <c r="B15" s="288" t="s">
        <v>85</v>
      </c>
      <c r="C15" s="290">
        <f>1/1200</f>
        <v>8.3333333333333339E-4</v>
      </c>
      <c r="D15" s="213"/>
      <c r="E15" s="309" t="s">
        <v>78</v>
      </c>
      <c r="F15" s="300" t="s">
        <v>78</v>
      </c>
      <c r="G15" s="301" t="s">
        <v>78</v>
      </c>
      <c r="H15" s="298"/>
      <c r="I15" s="210"/>
      <c r="J15" s="293"/>
      <c r="K15" s="287" t="str">
        <f>B12&amp;M9</f>
        <v>FT_BE_09Emp Only</v>
      </c>
      <c r="L15" s="294">
        <f>N9</f>
        <v>780.24</v>
      </c>
      <c r="M15" s="277">
        <v>0.18</v>
      </c>
      <c r="N15" s="278">
        <v>100</v>
      </c>
      <c r="O15" s="210"/>
    </row>
    <row r="16" spans="1:18" hidden="1" x14ac:dyDescent="0.2">
      <c r="B16" s="291" t="s">
        <v>87</v>
      </c>
      <c r="C16" s="293">
        <v>1</v>
      </c>
      <c r="D16" s="213"/>
      <c r="E16" s="310" t="s">
        <v>79</v>
      </c>
      <c r="F16" s="302" t="s">
        <v>79</v>
      </c>
      <c r="G16" s="303" t="s">
        <v>79</v>
      </c>
      <c r="H16" s="304"/>
      <c r="I16" s="29"/>
      <c r="J16" s="311"/>
      <c r="K16" s="283" t="str">
        <f>B13&amp;M6</f>
        <v>FT_BE_12Emp/Family</v>
      </c>
      <c r="L16" s="295">
        <f>N6</f>
        <v>1453.34</v>
      </c>
      <c r="M16" s="281">
        <v>0.18</v>
      </c>
      <c r="N16" s="282">
        <v>100</v>
      </c>
      <c r="O16" s="210"/>
    </row>
    <row r="17" spans="2:15" ht="13.5" hidden="1" thickBot="1" x14ac:dyDescent="0.25">
      <c r="B17" s="215" t="s">
        <v>86</v>
      </c>
      <c r="C17" s="216">
        <v>0</v>
      </c>
      <c r="D17" s="213"/>
      <c r="E17" s="287" t="s">
        <v>89</v>
      </c>
      <c r="F17" s="300" t="s">
        <v>89</v>
      </c>
      <c r="G17" s="301" t="s">
        <v>80</v>
      </c>
      <c r="H17" s="298"/>
      <c r="I17" s="210"/>
      <c r="J17" s="293"/>
      <c r="K17" s="283" t="str">
        <f>B13&amp;M7</f>
        <v>FT_BE_12Emp/Child</v>
      </c>
      <c r="L17" s="295">
        <f t="shared" ref="L17:L19" si="0">N7</f>
        <v>1041.9000000000001</v>
      </c>
      <c r="M17" s="281">
        <v>0.18</v>
      </c>
      <c r="N17" s="282">
        <v>100</v>
      </c>
      <c r="O17" s="210"/>
    </row>
    <row r="18" spans="2:15" ht="13.5" hidden="1" thickBot="1" x14ac:dyDescent="0.25">
      <c r="B18" s="210"/>
      <c r="C18" s="210"/>
      <c r="D18" s="210"/>
      <c r="E18" s="312"/>
      <c r="F18" s="313"/>
      <c r="G18" s="314" t="s">
        <v>89</v>
      </c>
      <c r="H18" s="315"/>
      <c r="I18" s="217"/>
      <c r="J18" s="316"/>
      <c r="K18" s="283" t="str">
        <f>B13&amp;M8</f>
        <v>FT_BE_12Emp/Spouse</v>
      </c>
      <c r="L18" s="295">
        <f t="shared" si="0"/>
        <v>1189.2</v>
      </c>
      <c r="M18" s="281">
        <v>0.18</v>
      </c>
      <c r="N18" s="282">
        <v>100</v>
      </c>
      <c r="O18" s="210"/>
    </row>
    <row r="19" spans="2:15" hidden="1" x14ac:dyDescent="0.2">
      <c r="B19" s="210"/>
      <c r="C19" s="210"/>
      <c r="D19" s="210"/>
      <c r="E19" s="210"/>
      <c r="F19" s="210"/>
      <c r="G19" s="210"/>
      <c r="H19" s="210"/>
      <c r="I19" s="210"/>
      <c r="J19" s="210"/>
      <c r="K19" s="283" t="str">
        <f>B13&amp;M9</f>
        <v>FT_BE_12Emp Only</v>
      </c>
      <c r="L19" s="295">
        <f t="shared" si="0"/>
        <v>780.24</v>
      </c>
      <c r="M19" s="281">
        <v>0.18</v>
      </c>
      <c r="N19" s="282">
        <v>100</v>
      </c>
      <c r="O19" s="210"/>
    </row>
    <row r="20" spans="2:15" hidden="1" x14ac:dyDescent="0.2">
      <c r="B20" s="210"/>
      <c r="C20" s="210"/>
      <c r="D20" s="210"/>
      <c r="E20" s="210"/>
      <c r="F20" s="210"/>
      <c r="G20" s="210"/>
      <c r="H20" s="210"/>
      <c r="I20" s="210"/>
      <c r="J20" s="210"/>
      <c r="K20" s="283" t="str">
        <f>B13&amp;F17</f>
        <v>FT_BE_12None</v>
      </c>
      <c r="L20" s="295">
        <v>0</v>
      </c>
      <c r="M20" s="281">
        <v>0.18</v>
      </c>
      <c r="N20" s="282">
        <v>0</v>
      </c>
      <c r="O20" s="210"/>
    </row>
    <row r="21" spans="2:15" hidden="1" x14ac:dyDescent="0.2">
      <c r="B21" s="210"/>
      <c r="C21" s="210"/>
      <c r="D21" s="210"/>
      <c r="E21" s="210"/>
      <c r="F21" s="210"/>
      <c r="G21" s="210"/>
      <c r="H21" s="210"/>
      <c r="I21" s="210"/>
      <c r="J21" s="210"/>
      <c r="K21" s="284" t="str">
        <f>B14&amp;M6</f>
        <v>PT_BE_12Emp/Family</v>
      </c>
      <c r="L21" s="296">
        <f>N6</f>
        <v>1453.34</v>
      </c>
      <c r="M21" s="285">
        <v>0.18</v>
      </c>
      <c r="N21" s="286">
        <v>50</v>
      </c>
      <c r="O21" s="210"/>
    </row>
    <row r="22" spans="2:15" hidden="1" x14ac:dyDescent="0.2">
      <c r="B22" s="210"/>
      <c r="C22" s="210"/>
      <c r="D22" s="210"/>
      <c r="E22" s="210"/>
      <c r="F22" s="210"/>
      <c r="G22" s="210"/>
      <c r="H22" s="210"/>
      <c r="I22" s="210"/>
      <c r="J22" s="210"/>
      <c r="K22" s="284" t="str">
        <f>B14&amp;M7</f>
        <v>PT_BE_12Emp/Child</v>
      </c>
      <c r="L22" s="296">
        <f t="shared" ref="L22:L24" si="1">N7</f>
        <v>1041.9000000000001</v>
      </c>
      <c r="M22" s="285">
        <v>0.18</v>
      </c>
      <c r="N22" s="286">
        <v>50</v>
      </c>
      <c r="O22" s="210"/>
    </row>
    <row r="23" spans="2:15" hidden="1" x14ac:dyDescent="0.2">
      <c r="B23" s="210"/>
      <c r="C23" s="210"/>
      <c r="D23" s="210"/>
      <c r="E23" s="210"/>
      <c r="F23" s="210"/>
      <c r="G23" s="210"/>
      <c r="H23" s="210"/>
      <c r="I23" s="210"/>
      <c r="J23" s="210"/>
      <c r="K23" s="284" t="str">
        <f>B14&amp;M8</f>
        <v>PT_BE_12Emp/Spouse</v>
      </c>
      <c r="L23" s="296">
        <f t="shared" si="1"/>
        <v>1189.2</v>
      </c>
      <c r="M23" s="285">
        <v>0.18</v>
      </c>
      <c r="N23" s="286">
        <v>50</v>
      </c>
      <c r="O23" s="210"/>
    </row>
    <row r="24" spans="2:15" hidden="1" x14ac:dyDescent="0.2">
      <c r="B24" s="210"/>
      <c r="C24" s="210"/>
      <c r="D24" s="210"/>
      <c r="E24" s="210"/>
      <c r="F24" s="210"/>
      <c r="G24" s="210"/>
      <c r="H24" s="210"/>
      <c r="I24" s="210"/>
      <c r="J24" s="210"/>
      <c r="K24" s="284" t="str">
        <f>B14&amp;M9</f>
        <v>PT_BE_12Emp Only</v>
      </c>
      <c r="L24" s="296">
        <f t="shared" si="1"/>
        <v>780.24</v>
      </c>
      <c r="M24" s="285">
        <v>0.18</v>
      </c>
      <c r="N24" s="286">
        <v>50</v>
      </c>
      <c r="O24" s="210"/>
    </row>
    <row r="25" spans="2:15" hidden="1" x14ac:dyDescent="0.2">
      <c r="B25" s="210"/>
      <c r="C25" s="210"/>
      <c r="D25" s="210"/>
      <c r="E25" s="210"/>
      <c r="F25" s="210"/>
      <c r="G25" s="210"/>
      <c r="H25" s="210"/>
      <c r="I25" s="210"/>
      <c r="J25" s="210"/>
      <c r="K25" s="284" t="str">
        <f>B14&amp;G17</f>
        <v>PT_BE_12Grad Res Asst</v>
      </c>
      <c r="L25" s="296">
        <f>O10</f>
        <v>746.09</v>
      </c>
      <c r="M25" s="285">
        <v>0.08</v>
      </c>
      <c r="N25" s="286">
        <v>100</v>
      </c>
      <c r="O25" s="210"/>
    </row>
    <row r="26" spans="2:15" hidden="1" x14ac:dyDescent="0.2">
      <c r="B26" s="210"/>
      <c r="C26" s="210"/>
      <c r="D26" s="210"/>
      <c r="E26" s="210"/>
      <c r="F26" s="210"/>
      <c r="G26" s="210"/>
      <c r="H26" s="210"/>
      <c r="I26" s="210"/>
      <c r="J26" s="210"/>
      <c r="K26" s="284" t="str">
        <f>B14&amp;G18</f>
        <v>PT_BE_12None</v>
      </c>
      <c r="L26" s="296">
        <v>0</v>
      </c>
      <c r="M26" s="285">
        <v>0.08</v>
      </c>
      <c r="N26" s="286">
        <v>0</v>
      </c>
      <c r="O26" s="210"/>
    </row>
    <row r="27" spans="2:15" hidden="1" x14ac:dyDescent="0.2">
      <c r="B27" s="210"/>
      <c r="C27" s="210"/>
      <c r="D27" s="210"/>
      <c r="E27" s="210"/>
      <c r="F27" s="210"/>
      <c r="G27" s="210"/>
      <c r="H27" s="210"/>
      <c r="I27" s="210"/>
      <c r="J27" s="210"/>
      <c r="K27" s="284" t="str">
        <f>B14&amp;G12</f>
        <v>PT_BE_12Select One</v>
      </c>
      <c r="L27" s="297">
        <v>0</v>
      </c>
      <c r="M27" s="285">
        <v>0</v>
      </c>
      <c r="N27" s="286">
        <v>0</v>
      </c>
      <c r="O27" s="210"/>
    </row>
    <row r="28" spans="2:15" hidden="1" x14ac:dyDescent="0.2">
      <c r="B28" s="210"/>
      <c r="C28" s="210"/>
      <c r="D28" s="210"/>
      <c r="E28" s="210"/>
      <c r="F28" s="210"/>
      <c r="G28" s="210"/>
      <c r="H28" s="210"/>
      <c r="I28" s="210"/>
      <c r="J28" s="210"/>
      <c r="K28" s="288" t="str">
        <f>B15&amp;H13</f>
        <v>PT_NB_12None</v>
      </c>
      <c r="L28" s="298">
        <v>0</v>
      </c>
      <c r="M28" s="289">
        <v>0.08</v>
      </c>
      <c r="N28" s="290">
        <v>0</v>
      </c>
      <c r="O28" s="210"/>
    </row>
    <row r="29" spans="2:15" hidden="1" x14ac:dyDescent="0.2">
      <c r="B29" s="210"/>
      <c r="C29" s="210"/>
      <c r="D29" s="210"/>
      <c r="E29" s="210"/>
      <c r="F29" s="210"/>
      <c r="G29" s="210"/>
      <c r="H29" s="210"/>
      <c r="I29" s="210"/>
      <c r="J29" s="210"/>
      <c r="K29" s="291" t="str">
        <f>B16&amp;J13</f>
        <v>HourlyNone</v>
      </c>
      <c r="L29" s="299">
        <v>0</v>
      </c>
      <c r="M29" s="292">
        <v>0.08</v>
      </c>
      <c r="N29" s="293">
        <v>0</v>
      </c>
      <c r="O29" s="210"/>
    </row>
    <row r="30" spans="2:15" hidden="1" x14ac:dyDescent="0.2">
      <c r="B30" s="210"/>
      <c r="C30" s="210"/>
      <c r="D30" s="210"/>
      <c r="E30" s="210"/>
      <c r="F30" s="210"/>
      <c r="G30" s="210"/>
      <c r="H30" s="210"/>
      <c r="I30" s="210"/>
      <c r="J30" s="210"/>
      <c r="K30" s="287" t="str">
        <f>B12&amp;E12</f>
        <v>FT_BE_09Select One</v>
      </c>
      <c r="L30" s="276">
        <v>0</v>
      </c>
      <c r="M30" s="277">
        <v>0</v>
      </c>
      <c r="N30" s="278">
        <v>0</v>
      </c>
      <c r="O30" s="210"/>
    </row>
    <row r="31" spans="2:15" hidden="1" x14ac:dyDescent="0.2">
      <c r="B31" s="210"/>
      <c r="C31" s="210"/>
      <c r="D31" s="210"/>
      <c r="E31" s="210"/>
      <c r="F31" s="210"/>
      <c r="G31" s="210"/>
      <c r="H31" s="210"/>
      <c r="I31" s="210"/>
      <c r="J31" s="210"/>
      <c r="K31" s="283" t="str">
        <f>B13&amp;F12</f>
        <v>FT_BE_12Select One</v>
      </c>
      <c r="L31" s="280">
        <v>0</v>
      </c>
      <c r="M31" s="281">
        <v>0</v>
      </c>
      <c r="N31" s="282">
        <v>0</v>
      </c>
      <c r="O31" s="210"/>
    </row>
    <row r="32" spans="2:15" hidden="1" x14ac:dyDescent="0.2">
      <c r="B32" s="210"/>
      <c r="C32" s="210"/>
      <c r="D32" s="210"/>
      <c r="E32" s="210"/>
      <c r="F32" s="210"/>
      <c r="G32" s="210"/>
      <c r="H32" s="210"/>
      <c r="I32" s="210"/>
      <c r="J32" s="210"/>
      <c r="K32" s="287" t="str">
        <f>B12&amp;E17</f>
        <v>FT_BE_09None</v>
      </c>
      <c r="L32" s="276">
        <v>0</v>
      </c>
      <c r="M32" s="277">
        <v>0.18</v>
      </c>
      <c r="N32" s="278">
        <v>0</v>
      </c>
      <c r="O32" s="210"/>
    </row>
    <row r="33" spans="1:19" hidden="1" x14ac:dyDescent="0.2">
      <c r="B33" s="210"/>
      <c r="C33" s="210"/>
      <c r="D33" s="210"/>
      <c r="E33" s="210"/>
      <c r="F33" s="210"/>
      <c r="G33" s="210"/>
      <c r="H33" s="210"/>
      <c r="I33" s="210"/>
      <c r="J33" s="210"/>
      <c r="K33" s="288" t="str">
        <f>B15&amp;H12</f>
        <v>PT_NB_12Select One</v>
      </c>
      <c r="L33" s="298">
        <v>0</v>
      </c>
      <c r="M33" s="289">
        <v>0</v>
      </c>
      <c r="N33" s="290">
        <v>0</v>
      </c>
      <c r="O33" s="210"/>
    </row>
    <row r="34" spans="1:19" hidden="1" x14ac:dyDescent="0.2">
      <c r="B34" s="210"/>
      <c r="C34" s="210"/>
      <c r="D34" s="210"/>
      <c r="E34" s="210"/>
      <c r="F34" s="210"/>
      <c r="G34" s="210"/>
      <c r="H34" s="210"/>
      <c r="I34" s="210"/>
      <c r="J34" s="210"/>
      <c r="K34" s="291" t="str">
        <f>B16&amp;J12</f>
        <v>HourlySelect One</v>
      </c>
      <c r="L34" s="299">
        <v>0</v>
      </c>
      <c r="M34" s="292">
        <v>0</v>
      </c>
      <c r="N34" s="293">
        <v>0</v>
      </c>
      <c r="O34" s="210"/>
    </row>
    <row r="35" spans="1:19" ht="13.5" hidden="1" thickBot="1" x14ac:dyDescent="0.25">
      <c r="B35" s="210"/>
      <c r="C35" s="210"/>
      <c r="D35" s="210"/>
      <c r="E35" s="210"/>
      <c r="F35" s="210"/>
      <c r="G35" s="210"/>
      <c r="H35" s="210"/>
      <c r="I35" s="210"/>
      <c r="J35" s="210"/>
      <c r="K35" s="215" t="str">
        <f>B17&amp;I12</f>
        <v>SelectSelect One</v>
      </c>
      <c r="L35" s="217"/>
      <c r="M35" s="317"/>
      <c r="N35" s="216"/>
      <c r="O35" s="210"/>
    </row>
    <row r="36" spans="1:19" ht="18" customHeight="1" thickBot="1" x14ac:dyDescent="0.25">
      <c r="A36" s="490"/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</row>
    <row r="37" spans="1:19" ht="13.5" customHeight="1" x14ac:dyDescent="0.2">
      <c r="A37" s="414" t="s">
        <v>90</v>
      </c>
      <c r="B37" s="494" t="s">
        <v>91</v>
      </c>
      <c r="C37" s="495"/>
      <c r="D37" s="495"/>
      <c r="E37" s="495"/>
      <c r="F37" s="495"/>
      <c r="G37" s="495"/>
      <c r="H37" s="495"/>
      <c r="I37" s="495"/>
      <c r="J37" s="495"/>
      <c r="K37" s="496" t="s">
        <v>92</v>
      </c>
      <c r="L37" s="497"/>
      <c r="M37" s="234">
        <f>SUM(M39:M65)</f>
        <v>0</v>
      </c>
      <c r="N37" s="234">
        <f>SUM(N39:N65)</f>
        <v>0</v>
      </c>
      <c r="O37" s="235">
        <f>SUM(O39:O65)</f>
        <v>0</v>
      </c>
    </row>
    <row r="38" spans="1:19" ht="49.9" customHeight="1" x14ac:dyDescent="0.2">
      <c r="A38" s="415"/>
      <c r="B38" s="491" t="s">
        <v>93</v>
      </c>
      <c r="C38" s="491"/>
      <c r="D38" s="34" t="s">
        <v>94</v>
      </c>
      <c r="E38" s="34" t="s">
        <v>95</v>
      </c>
      <c r="F38" s="140" t="s">
        <v>96</v>
      </c>
      <c r="G38" s="492" t="s">
        <v>97</v>
      </c>
      <c r="H38" s="493"/>
      <c r="I38" s="34" t="s">
        <v>98</v>
      </c>
      <c r="J38" s="34" t="s">
        <v>99</v>
      </c>
      <c r="K38" s="34" t="s">
        <v>100</v>
      </c>
      <c r="L38" s="34" t="s">
        <v>101</v>
      </c>
      <c r="M38" s="34" t="s">
        <v>102</v>
      </c>
      <c r="N38" s="34" t="s">
        <v>103</v>
      </c>
      <c r="O38" s="141" t="s">
        <v>104</v>
      </c>
      <c r="P38" s="142"/>
      <c r="S38" s="5"/>
    </row>
    <row r="39" spans="1:19" ht="13.5" customHeight="1" x14ac:dyDescent="0.2">
      <c r="A39" s="415"/>
      <c r="B39" s="383" t="str">
        <f>IF('Per2'!B39&lt;&gt;"",'Per2'!B39,"")</f>
        <v/>
      </c>
      <c r="C39" s="383"/>
      <c r="D39" s="60" t="str">
        <f>IF('Per2'!D39&lt;&gt;"",'Per2'!D39,"")</f>
        <v/>
      </c>
      <c r="E39" s="143" t="str">
        <f>'Per1'!E39</f>
        <v>Select</v>
      </c>
      <c r="F39" s="144" t="str">
        <f>'Per1'!F39</f>
        <v>Select One</v>
      </c>
      <c r="G39" s="481">
        <f>IF(E39="Hourly",ROUND('Per2'!G39*1.03,2),ROUND('Per2'!G39*1.03,0))</f>
        <v>0</v>
      </c>
      <c r="H39" s="482"/>
      <c r="I39" s="6"/>
      <c r="J39" s="27"/>
      <c r="K39" s="209">
        <f>IF(E39="Hourly",I39*J39/173.33,I39*J39/100)</f>
        <v>0</v>
      </c>
      <c r="L39" s="7" t="str">
        <f t="shared" ref="L39:L65" si="2">IF(M39&lt;&gt;0,SUM(N39/M39),"-")</f>
        <v>-</v>
      </c>
      <c r="M39" s="19">
        <f t="shared" ref="M39:M65" si="3">ROUND((G39*I39*J39*VLOOKUP(E39,$B$12:$C$17,2,FALSE)),0)</f>
        <v>0</v>
      </c>
      <c r="N39" s="19">
        <f t="shared" ref="N39:N65" si="4">ROUND(M39*VLOOKUP(E39&amp;F39,$K$12:$N$35,3,FALSE)+VLOOKUP(E39&amp;F39,$K$12:$N$35,2,FALSE)*MIN(J39,VLOOKUP(E39&amp;F39,$K$12:$N$35,4,FALSE))*I39/100,0)</f>
        <v>0</v>
      </c>
      <c r="O39" s="20">
        <f t="shared" ref="O39:O65" si="5">M39+N39</f>
        <v>0</v>
      </c>
      <c r="P39" s="145"/>
      <c r="Q39" s="14" t="s">
        <v>105</v>
      </c>
      <c r="S39" s="133"/>
    </row>
    <row r="40" spans="1:19" ht="13.5" customHeight="1" x14ac:dyDescent="0.2">
      <c r="A40" s="415"/>
      <c r="B40" s="383" t="str">
        <f>IF('Per2'!B40&lt;&gt;"",'Per2'!B40,"")</f>
        <v/>
      </c>
      <c r="C40" s="383"/>
      <c r="D40" s="60" t="str">
        <f>IF('Per2'!D40&lt;&gt;"",'Per2'!D40,"")</f>
        <v/>
      </c>
      <c r="E40" s="143" t="str">
        <f>'Per1'!E40</f>
        <v>Select</v>
      </c>
      <c r="F40" s="144" t="str">
        <f>'Per1'!F40</f>
        <v>Select One</v>
      </c>
      <c r="G40" s="481">
        <f>IF(E40="Hourly",ROUND('Per2'!G40*1.03,2),ROUND('Per2'!G40*1.03,0))</f>
        <v>0</v>
      </c>
      <c r="H40" s="482"/>
      <c r="I40" s="6"/>
      <c r="J40" s="27"/>
      <c r="K40" s="209">
        <f t="shared" ref="K40:K65" si="6">IF(E40="Hourly",I40*J40/173.33,I40*J40/100)</f>
        <v>0</v>
      </c>
      <c r="L40" s="7" t="str">
        <f t="shared" si="2"/>
        <v>-</v>
      </c>
      <c r="M40" s="19">
        <f t="shared" si="3"/>
        <v>0</v>
      </c>
      <c r="N40" s="19">
        <f t="shared" si="4"/>
        <v>0</v>
      </c>
      <c r="O40" s="8">
        <f t="shared" si="5"/>
        <v>0</v>
      </c>
      <c r="P40" s="30"/>
      <c r="Q40" s="14" t="s">
        <v>106</v>
      </c>
      <c r="S40" s="133"/>
    </row>
    <row r="41" spans="1:19" ht="13.5" customHeight="1" x14ac:dyDescent="0.2">
      <c r="A41" s="415"/>
      <c r="B41" s="383" t="str">
        <f>IF('Per2'!B41&lt;&gt;"",'Per2'!B41,"")</f>
        <v/>
      </c>
      <c r="C41" s="383"/>
      <c r="D41" s="60" t="str">
        <f>IF('Per2'!D41&lt;&gt;"",'Per2'!D41,"")</f>
        <v/>
      </c>
      <c r="E41" s="143" t="str">
        <f>'Per1'!E41</f>
        <v>Select</v>
      </c>
      <c r="F41" s="144" t="str">
        <f>'Per1'!F41</f>
        <v>Select One</v>
      </c>
      <c r="G41" s="481">
        <f>IF(E41="Hourly",ROUND('Per2'!G41*1.03,2),ROUND('Per2'!G41*1.03,0))</f>
        <v>0</v>
      </c>
      <c r="H41" s="482"/>
      <c r="I41" s="6"/>
      <c r="J41" s="27"/>
      <c r="K41" s="209">
        <f t="shared" si="6"/>
        <v>0</v>
      </c>
      <c r="L41" s="7" t="str">
        <f t="shared" si="2"/>
        <v>-</v>
      </c>
      <c r="M41" s="19">
        <f t="shared" si="3"/>
        <v>0</v>
      </c>
      <c r="N41" s="19">
        <f t="shared" si="4"/>
        <v>0</v>
      </c>
      <c r="O41" s="8">
        <f t="shared" si="5"/>
        <v>0</v>
      </c>
      <c r="P41" s="30"/>
      <c r="Q41" s="14" t="s">
        <v>107</v>
      </c>
      <c r="S41" s="133"/>
    </row>
    <row r="42" spans="1:19" ht="13.5" customHeight="1" x14ac:dyDescent="0.2">
      <c r="A42" s="415"/>
      <c r="B42" s="383" t="str">
        <f>IF('Per2'!B42&lt;&gt;"",'Per2'!B42,"")</f>
        <v/>
      </c>
      <c r="C42" s="383"/>
      <c r="D42" s="60" t="str">
        <f>IF('Per2'!D42&lt;&gt;"",'Per2'!D42,"")</f>
        <v/>
      </c>
      <c r="E42" s="143" t="str">
        <f>'Per1'!E42</f>
        <v>Select</v>
      </c>
      <c r="F42" s="144" t="str">
        <f>'Per1'!F42</f>
        <v>Select One</v>
      </c>
      <c r="G42" s="481">
        <f>IF(E42="Hourly",ROUND('Per2'!G42*1.03,2),ROUND('Per2'!G42*1.03,0))</f>
        <v>0</v>
      </c>
      <c r="H42" s="482"/>
      <c r="I42" s="6"/>
      <c r="J42" s="27"/>
      <c r="K42" s="209">
        <f t="shared" si="6"/>
        <v>0</v>
      </c>
      <c r="L42" s="7" t="str">
        <f t="shared" si="2"/>
        <v>-</v>
      </c>
      <c r="M42" s="19">
        <f t="shared" si="3"/>
        <v>0</v>
      </c>
      <c r="N42" s="19">
        <f t="shared" si="4"/>
        <v>0</v>
      </c>
      <c r="O42" s="8">
        <f t="shared" si="5"/>
        <v>0</v>
      </c>
      <c r="P42" s="30"/>
      <c r="Q42" s="14" t="s">
        <v>108</v>
      </c>
      <c r="S42" s="133"/>
    </row>
    <row r="43" spans="1:19" ht="13.5" customHeight="1" x14ac:dyDescent="0.2">
      <c r="A43" s="415"/>
      <c r="B43" s="383" t="str">
        <f>IF('Per2'!B43&lt;&gt;"",'Per2'!B43,"")</f>
        <v/>
      </c>
      <c r="C43" s="383"/>
      <c r="D43" s="60" t="str">
        <f>IF('Per2'!D43&lt;&gt;"",'Per2'!D43,"")</f>
        <v/>
      </c>
      <c r="E43" s="143" t="str">
        <f>'Per1'!E43</f>
        <v>Select</v>
      </c>
      <c r="F43" s="144" t="str">
        <f>'Per1'!F43</f>
        <v>Select One</v>
      </c>
      <c r="G43" s="481">
        <f>IF(E43="Hourly",ROUND('Per2'!G43*1.03,2),ROUND('Per2'!G43*1.03,0))</f>
        <v>0</v>
      </c>
      <c r="H43" s="482"/>
      <c r="I43" s="6"/>
      <c r="J43" s="27"/>
      <c r="K43" s="209">
        <f t="shared" si="6"/>
        <v>0</v>
      </c>
      <c r="L43" s="7" t="str">
        <f t="shared" si="2"/>
        <v>-</v>
      </c>
      <c r="M43" s="19">
        <f t="shared" si="3"/>
        <v>0</v>
      </c>
      <c r="N43" s="19">
        <f t="shared" si="4"/>
        <v>0</v>
      </c>
      <c r="O43" s="8">
        <f t="shared" si="5"/>
        <v>0</v>
      </c>
      <c r="P43" s="30"/>
      <c r="Q43" s="14" t="s">
        <v>109</v>
      </c>
      <c r="S43" s="133"/>
    </row>
    <row r="44" spans="1:19" ht="13.5" customHeight="1" x14ac:dyDescent="0.2">
      <c r="A44" s="415"/>
      <c r="B44" s="383" t="str">
        <f>IF('Per2'!B44&lt;&gt;"",'Per2'!B44,"")</f>
        <v/>
      </c>
      <c r="C44" s="383"/>
      <c r="D44" s="60" t="str">
        <f>IF('Per2'!D44&lt;&gt;"",'Per2'!D44,"")</f>
        <v/>
      </c>
      <c r="E44" s="143" t="str">
        <f>'Per1'!E44</f>
        <v>Select</v>
      </c>
      <c r="F44" s="144" t="str">
        <f>'Per1'!F44</f>
        <v>Select One</v>
      </c>
      <c r="G44" s="481">
        <f>IF(E44="Hourly",ROUND('Per2'!G44*1.03,2),ROUND('Per2'!G44*1.03,0))</f>
        <v>0</v>
      </c>
      <c r="H44" s="482"/>
      <c r="I44" s="6"/>
      <c r="J44" s="27"/>
      <c r="K44" s="209">
        <f t="shared" si="6"/>
        <v>0</v>
      </c>
      <c r="L44" s="7" t="str">
        <f t="shared" si="2"/>
        <v>-</v>
      </c>
      <c r="M44" s="19">
        <f t="shared" si="3"/>
        <v>0</v>
      </c>
      <c r="N44" s="19">
        <f t="shared" si="4"/>
        <v>0</v>
      </c>
      <c r="O44" s="8">
        <f t="shared" si="5"/>
        <v>0</v>
      </c>
      <c r="P44" s="30"/>
      <c r="Q44" s="14" t="s">
        <v>110</v>
      </c>
      <c r="S44" s="146"/>
    </row>
    <row r="45" spans="1:19" ht="13.5" customHeight="1" x14ac:dyDescent="0.2">
      <c r="A45" s="415"/>
      <c r="B45" s="383" t="str">
        <f>IF('Per2'!B45&lt;&gt;"",'Per2'!B45,"")</f>
        <v/>
      </c>
      <c r="C45" s="383"/>
      <c r="D45" s="60" t="str">
        <f>IF('Per2'!D45&lt;&gt;"",'Per2'!D45,"")</f>
        <v/>
      </c>
      <c r="E45" s="143" t="str">
        <f>'Per1'!E45</f>
        <v>Select</v>
      </c>
      <c r="F45" s="144" t="str">
        <f>'Per1'!F45</f>
        <v>Select One</v>
      </c>
      <c r="G45" s="481">
        <f>IF(E45="Hourly",ROUND('Per2'!G45*1.03,2),ROUND('Per2'!G45*1.03,0))</f>
        <v>0</v>
      </c>
      <c r="H45" s="482"/>
      <c r="I45" s="6"/>
      <c r="J45" s="27"/>
      <c r="K45" s="209">
        <f t="shared" si="6"/>
        <v>0</v>
      </c>
      <c r="L45" s="7" t="str">
        <f t="shared" si="2"/>
        <v>-</v>
      </c>
      <c r="M45" s="19">
        <f t="shared" si="3"/>
        <v>0</v>
      </c>
      <c r="N45" s="19">
        <f t="shared" si="4"/>
        <v>0</v>
      </c>
      <c r="O45" s="8">
        <f t="shared" si="5"/>
        <v>0</v>
      </c>
      <c r="P45" s="30"/>
      <c r="Q45" s="14"/>
      <c r="S45" s="146"/>
    </row>
    <row r="46" spans="1:19" ht="13.5" customHeight="1" x14ac:dyDescent="0.2">
      <c r="A46" s="415"/>
      <c r="B46" s="383" t="str">
        <f>IF('Per2'!B46&lt;&gt;"",'Per2'!B46,"")</f>
        <v/>
      </c>
      <c r="C46" s="383"/>
      <c r="D46" s="60" t="str">
        <f>IF('Per2'!D46&lt;&gt;"",'Per2'!D46,"")</f>
        <v/>
      </c>
      <c r="E46" s="143" t="str">
        <f>'Per1'!E46</f>
        <v>Select</v>
      </c>
      <c r="F46" s="144" t="str">
        <f>'Per1'!F46</f>
        <v>Select One</v>
      </c>
      <c r="G46" s="481">
        <f>IF(E46="Hourly",ROUND('Per2'!G46*1.03,2),ROUND('Per2'!G46*1.03,0))</f>
        <v>0</v>
      </c>
      <c r="H46" s="482"/>
      <c r="I46" s="6"/>
      <c r="J46" s="27"/>
      <c r="K46" s="209">
        <f t="shared" si="6"/>
        <v>0</v>
      </c>
      <c r="L46" s="7" t="str">
        <f t="shared" si="2"/>
        <v>-</v>
      </c>
      <c r="M46" s="19">
        <f t="shared" si="3"/>
        <v>0</v>
      </c>
      <c r="N46" s="19">
        <f t="shared" si="4"/>
        <v>0</v>
      </c>
      <c r="O46" s="8">
        <f t="shared" si="5"/>
        <v>0</v>
      </c>
      <c r="P46" s="30"/>
      <c r="Q46" s="14"/>
      <c r="S46" s="146"/>
    </row>
    <row r="47" spans="1:19" ht="13.5" customHeight="1" x14ac:dyDescent="0.2">
      <c r="A47" s="415"/>
      <c r="B47" s="383" t="str">
        <f>IF('Per2'!B47&lt;&gt;"",'Per2'!B47,"")</f>
        <v/>
      </c>
      <c r="C47" s="383"/>
      <c r="D47" s="60" t="str">
        <f>IF('Per2'!D47&lt;&gt;"",'Per2'!D47,"")</f>
        <v/>
      </c>
      <c r="E47" s="143" t="str">
        <f>'Per1'!E47</f>
        <v>Select</v>
      </c>
      <c r="F47" s="144" t="str">
        <f>'Per1'!F47</f>
        <v>Select One</v>
      </c>
      <c r="G47" s="481">
        <f>IF(E47="Hourly",ROUND('Per2'!G47*1.03,2),ROUND('Per2'!G47*1.03,0))</f>
        <v>0</v>
      </c>
      <c r="H47" s="482"/>
      <c r="I47" s="6"/>
      <c r="J47" s="27"/>
      <c r="K47" s="209">
        <f t="shared" si="6"/>
        <v>0</v>
      </c>
      <c r="L47" s="7" t="str">
        <f t="shared" si="2"/>
        <v>-</v>
      </c>
      <c r="M47" s="19">
        <f t="shared" si="3"/>
        <v>0</v>
      </c>
      <c r="N47" s="19">
        <f t="shared" si="4"/>
        <v>0</v>
      </c>
      <c r="O47" s="8">
        <f t="shared" si="5"/>
        <v>0</v>
      </c>
      <c r="P47" s="30"/>
      <c r="Q47" s="14"/>
      <c r="S47" s="146"/>
    </row>
    <row r="48" spans="1:19" ht="13.5" customHeight="1" thickBot="1" x14ac:dyDescent="0.25">
      <c r="A48" s="415"/>
      <c r="B48" s="383" t="str">
        <f>IF('Per2'!B48&lt;&gt;"",'Per2'!B48,"")</f>
        <v/>
      </c>
      <c r="C48" s="383"/>
      <c r="D48" s="60" t="str">
        <f>IF('Per2'!D48&lt;&gt;"",'Per2'!D48,"")</f>
        <v/>
      </c>
      <c r="E48" s="143" t="str">
        <f>'Per1'!E48</f>
        <v>Select</v>
      </c>
      <c r="F48" s="144" t="str">
        <f>'Per1'!F48</f>
        <v>Select One</v>
      </c>
      <c r="G48" s="481">
        <f>IF(E48="Hourly",ROUND('Per2'!G48*1.03,2),ROUND('Per2'!G48*1.03,0))</f>
        <v>0</v>
      </c>
      <c r="H48" s="482"/>
      <c r="I48" s="6"/>
      <c r="J48" s="27"/>
      <c r="K48" s="209">
        <f t="shared" si="6"/>
        <v>0</v>
      </c>
      <c r="L48" s="7" t="str">
        <f t="shared" si="2"/>
        <v>-</v>
      </c>
      <c r="M48" s="19">
        <f t="shared" si="3"/>
        <v>0</v>
      </c>
      <c r="N48" s="19">
        <f t="shared" si="4"/>
        <v>0</v>
      </c>
      <c r="O48" s="8">
        <f t="shared" si="5"/>
        <v>0</v>
      </c>
      <c r="P48" s="30"/>
      <c r="Q48" s="14"/>
      <c r="S48" s="146"/>
    </row>
    <row r="49" spans="1:19" ht="13.5" hidden="1" customHeight="1" x14ac:dyDescent="0.2">
      <c r="A49" s="415"/>
      <c r="B49" s="383" t="str">
        <f>IF('Per2'!B49&lt;&gt;"",'Per2'!B49,"")</f>
        <v/>
      </c>
      <c r="C49" s="383"/>
      <c r="D49" s="60" t="str">
        <f>IF('Per2'!D49&lt;&gt;"",'Per2'!D49,"")</f>
        <v/>
      </c>
      <c r="E49" s="143" t="str">
        <f>'Per1'!E49</f>
        <v>Select</v>
      </c>
      <c r="F49" s="144" t="str">
        <f>'Per1'!F49</f>
        <v>Select One</v>
      </c>
      <c r="G49" s="481">
        <f>IF(E49="Hourly",ROUND('Per2'!G49*1.03,2),ROUND('Per2'!G49*1.03,0))</f>
        <v>0</v>
      </c>
      <c r="H49" s="482"/>
      <c r="I49" s="6"/>
      <c r="J49" s="27"/>
      <c r="K49" s="209">
        <f t="shared" si="6"/>
        <v>0</v>
      </c>
      <c r="L49" s="7" t="str">
        <f t="shared" si="2"/>
        <v>-</v>
      </c>
      <c r="M49" s="19">
        <f t="shared" si="3"/>
        <v>0</v>
      </c>
      <c r="N49" s="19">
        <f t="shared" si="4"/>
        <v>0</v>
      </c>
      <c r="O49" s="8">
        <f t="shared" si="5"/>
        <v>0</v>
      </c>
      <c r="P49" s="30"/>
      <c r="Q49" s="224" t="s">
        <v>111</v>
      </c>
      <c r="S49" s="146"/>
    </row>
    <row r="50" spans="1:19" ht="13.5" hidden="1" customHeight="1" x14ac:dyDescent="0.2">
      <c r="A50" s="415"/>
      <c r="B50" s="383" t="str">
        <f>IF('Per2'!B50&lt;&gt;"",'Per2'!B50,"")</f>
        <v/>
      </c>
      <c r="C50" s="383"/>
      <c r="D50" s="60" t="str">
        <f>IF('Per2'!D50&lt;&gt;"",'Per2'!D50,"")</f>
        <v/>
      </c>
      <c r="E50" s="143" t="str">
        <f>'Per1'!E50</f>
        <v>Select</v>
      </c>
      <c r="F50" s="144" t="str">
        <f>'Per1'!F50</f>
        <v>Select One</v>
      </c>
      <c r="G50" s="481">
        <f>IF(E50="Hourly",ROUND('Per2'!G50*1.03,2),ROUND('Per2'!G50*1.03,0))</f>
        <v>0</v>
      </c>
      <c r="H50" s="482"/>
      <c r="I50" s="6"/>
      <c r="J50" s="27"/>
      <c r="K50" s="209">
        <f t="shared" si="6"/>
        <v>0</v>
      </c>
      <c r="L50" s="7" t="str">
        <f t="shared" si="2"/>
        <v>-</v>
      </c>
      <c r="M50" s="19">
        <f t="shared" si="3"/>
        <v>0</v>
      </c>
      <c r="N50" s="19">
        <f t="shared" si="4"/>
        <v>0</v>
      </c>
      <c r="O50" s="8">
        <f t="shared" si="5"/>
        <v>0</v>
      </c>
      <c r="P50" s="30"/>
      <c r="Q50" s="14"/>
      <c r="S50" s="146"/>
    </row>
    <row r="51" spans="1:19" ht="13.5" hidden="1" customHeight="1" x14ac:dyDescent="0.2">
      <c r="A51" s="415"/>
      <c r="B51" s="383" t="str">
        <f>IF('Per2'!B51&lt;&gt;"",'Per2'!B51,"")</f>
        <v/>
      </c>
      <c r="C51" s="383"/>
      <c r="D51" s="60" t="str">
        <f>IF('Per2'!D51&lt;&gt;"",'Per2'!D51,"")</f>
        <v/>
      </c>
      <c r="E51" s="143" t="str">
        <f>'Per1'!E51</f>
        <v>Select</v>
      </c>
      <c r="F51" s="144" t="str">
        <f>'Per1'!F51</f>
        <v>Select One</v>
      </c>
      <c r="G51" s="481">
        <f>IF(E51="Hourly",ROUND('Per2'!G51*1.03,2),ROUND('Per2'!G51*1.03,0))</f>
        <v>0</v>
      </c>
      <c r="H51" s="482"/>
      <c r="I51" s="6"/>
      <c r="J51" s="27"/>
      <c r="K51" s="209">
        <f t="shared" si="6"/>
        <v>0</v>
      </c>
      <c r="L51" s="7" t="str">
        <f t="shared" si="2"/>
        <v>-</v>
      </c>
      <c r="M51" s="19">
        <f t="shared" si="3"/>
        <v>0</v>
      </c>
      <c r="N51" s="19">
        <f t="shared" si="4"/>
        <v>0</v>
      </c>
      <c r="O51" s="8">
        <f t="shared" si="5"/>
        <v>0</v>
      </c>
      <c r="P51" s="30"/>
      <c r="Q51" s="14"/>
      <c r="S51" s="146"/>
    </row>
    <row r="52" spans="1:19" ht="13.5" hidden="1" customHeight="1" x14ac:dyDescent="0.2">
      <c r="A52" s="415"/>
      <c r="B52" s="383" t="str">
        <f>IF('Per2'!B52&lt;&gt;"",'Per2'!B52,"")</f>
        <v/>
      </c>
      <c r="C52" s="383"/>
      <c r="D52" s="60" t="str">
        <f>IF('Per2'!D52&lt;&gt;"",'Per2'!D52,"")</f>
        <v/>
      </c>
      <c r="E52" s="143" t="str">
        <f>'Per1'!E52</f>
        <v>Select</v>
      </c>
      <c r="F52" s="144" t="str">
        <f>'Per1'!F52</f>
        <v>Select One</v>
      </c>
      <c r="G52" s="481">
        <f>IF(E52="Hourly",ROUND('Per2'!G52*1.03,2),ROUND('Per2'!G52*1.03,0))</f>
        <v>0</v>
      </c>
      <c r="H52" s="482"/>
      <c r="I52" s="6"/>
      <c r="J52" s="27"/>
      <c r="K52" s="209">
        <f t="shared" si="6"/>
        <v>0</v>
      </c>
      <c r="L52" s="7" t="str">
        <f t="shared" si="2"/>
        <v>-</v>
      </c>
      <c r="M52" s="19">
        <f t="shared" si="3"/>
        <v>0</v>
      </c>
      <c r="N52" s="19">
        <f t="shared" si="4"/>
        <v>0</v>
      </c>
      <c r="O52" s="8">
        <f t="shared" si="5"/>
        <v>0</v>
      </c>
      <c r="P52" s="30"/>
      <c r="Q52" s="14"/>
      <c r="S52" s="146"/>
    </row>
    <row r="53" spans="1:19" ht="13.5" hidden="1" customHeight="1" x14ac:dyDescent="0.2">
      <c r="A53" s="415"/>
      <c r="B53" s="383" t="str">
        <f>IF('Per2'!B53&lt;&gt;"",'Per2'!B53,"")</f>
        <v/>
      </c>
      <c r="C53" s="383"/>
      <c r="D53" s="60" t="str">
        <f>IF('Per2'!D53&lt;&gt;"",'Per2'!D53,"")</f>
        <v/>
      </c>
      <c r="E53" s="143" t="str">
        <f>'Per1'!E53</f>
        <v>Select</v>
      </c>
      <c r="F53" s="144" t="str">
        <f>'Per1'!F53</f>
        <v>Select One</v>
      </c>
      <c r="G53" s="481">
        <f>IF(E53="Hourly",ROUND('Per2'!G53*1.03,2),ROUND('Per2'!G53*1.03,0))</f>
        <v>0</v>
      </c>
      <c r="H53" s="482"/>
      <c r="I53" s="6"/>
      <c r="J53" s="27"/>
      <c r="K53" s="209">
        <f t="shared" si="6"/>
        <v>0</v>
      </c>
      <c r="L53" s="7" t="str">
        <f t="shared" si="2"/>
        <v>-</v>
      </c>
      <c r="M53" s="19">
        <f t="shared" si="3"/>
        <v>0</v>
      </c>
      <c r="N53" s="19">
        <f t="shared" si="4"/>
        <v>0</v>
      </c>
      <c r="O53" s="8">
        <f t="shared" si="5"/>
        <v>0</v>
      </c>
      <c r="P53" s="30"/>
      <c r="Q53" s="14"/>
      <c r="S53" s="146"/>
    </row>
    <row r="54" spans="1:19" ht="13.5" hidden="1" customHeight="1" x14ac:dyDescent="0.2">
      <c r="A54" s="415"/>
      <c r="B54" s="383" t="str">
        <f>IF('Per2'!B54&lt;&gt;"",'Per2'!B54,"")</f>
        <v/>
      </c>
      <c r="C54" s="383"/>
      <c r="D54" s="60" t="str">
        <f>IF('Per2'!D54&lt;&gt;"",'Per2'!D54,"")</f>
        <v/>
      </c>
      <c r="E54" s="143" t="str">
        <f>'Per1'!E54</f>
        <v>Select</v>
      </c>
      <c r="F54" s="144" t="str">
        <f>'Per1'!F54</f>
        <v>Select One</v>
      </c>
      <c r="G54" s="481">
        <f>IF(E54="Hourly",ROUND('Per2'!G54*1.03,2),ROUND('Per2'!G54*1.03,0))</f>
        <v>0</v>
      </c>
      <c r="H54" s="482"/>
      <c r="I54" s="6"/>
      <c r="J54" s="27"/>
      <c r="K54" s="209">
        <f t="shared" si="6"/>
        <v>0</v>
      </c>
      <c r="L54" s="7" t="str">
        <f t="shared" si="2"/>
        <v>-</v>
      </c>
      <c r="M54" s="19">
        <f t="shared" si="3"/>
        <v>0</v>
      </c>
      <c r="N54" s="19">
        <f t="shared" si="4"/>
        <v>0</v>
      </c>
      <c r="O54" s="8">
        <f t="shared" si="5"/>
        <v>0</v>
      </c>
      <c r="P54" s="30"/>
      <c r="Q54" s="14"/>
      <c r="S54" s="146"/>
    </row>
    <row r="55" spans="1:19" ht="13.5" hidden="1" customHeight="1" x14ac:dyDescent="0.2">
      <c r="A55" s="415"/>
      <c r="B55" s="383" t="str">
        <f>IF('Per2'!B55&lt;&gt;"",'Per2'!B55,"")</f>
        <v/>
      </c>
      <c r="C55" s="383"/>
      <c r="D55" s="60" t="str">
        <f>IF('Per2'!D55&lt;&gt;"",'Per2'!D55,"")</f>
        <v/>
      </c>
      <c r="E55" s="143" t="str">
        <f>'Per1'!E55</f>
        <v>Select</v>
      </c>
      <c r="F55" s="144" t="str">
        <f>'Per1'!F55</f>
        <v>Select One</v>
      </c>
      <c r="G55" s="481">
        <f>IF(E55="Hourly",ROUND('Per2'!G55*1.03,2),ROUND('Per2'!G55*1.03,0))</f>
        <v>0</v>
      </c>
      <c r="H55" s="482"/>
      <c r="I55" s="6"/>
      <c r="J55" s="27"/>
      <c r="K55" s="209">
        <f t="shared" si="6"/>
        <v>0</v>
      </c>
      <c r="L55" s="7" t="str">
        <f t="shared" si="2"/>
        <v>-</v>
      </c>
      <c r="M55" s="19">
        <f t="shared" si="3"/>
        <v>0</v>
      </c>
      <c r="N55" s="19">
        <f t="shared" si="4"/>
        <v>0</v>
      </c>
      <c r="O55" s="8">
        <f t="shared" si="5"/>
        <v>0</v>
      </c>
      <c r="P55" s="30"/>
      <c r="Q55" s="14"/>
      <c r="S55" s="146"/>
    </row>
    <row r="56" spans="1:19" ht="13.5" hidden="1" customHeight="1" x14ac:dyDescent="0.2">
      <c r="A56" s="415"/>
      <c r="B56" s="383" t="str">
        <f>IF('Per2'!B56&lt;&gt;"",'Per2'!B56,"")</f>
        <v/>
      </c>
      <c r="C56" s="383"/>
      <c r="D56" s="60" t="str">
        <f>IF('Per2'!D56&lt;&gt;"",'Per2'!D56,"")</f>
        <v/>
      </c>
      <c r="E56" s="143" t="str">
        <f>'Per1'!E56</f>
        <v>Select</v>
      </c>
      <c r="F56" s="144" t="str">
        <f>'Per1'!F56</f>
        <v>Select One</v>
      </c>
      <c r="G56" s="481">
        <f>IF(E56="Hourly",ROUND('Per2'!G56*1.03,2),ROUND('Per2'!G56*1.03,0))</f>
        <v>0</v>
      </c>
      <c r="H56" s="482"/>
      <c r="I56" s="6"/>
      <c r="J56" s="27"/>
      <c r="K56" s="209">
        <f t="shared" si="6"/>
        <v>0</v>
      </c>
      <c r="L56" s="7" t="str">
        <f t="shared" si="2"/>
        <v>-</v>
      </c>
      <c r="M56" s="19">
        <f t="shared" si="3"/>
        <v>0</v>
      </c>
      <c r="N56" s="19">
        <f t="shared" si="4"/>
        <v>0</v>
      </c>
      <c r="O56" s="8">
        <f t="shared" si="5"/>
        <v>0</v>
      </c>
      <c r="P56" s="30"/>
      <c r="Q56" s="14"/>
      <c r="S56" s="146"/>
    </row>
    <row r="57" spans="1:19" ht="13.5" hidden="1" customHeight="1" x14ac:dyDescent="0.2">
      <c r="A57" s="415"/>
      <c r="B57" s="383" t="str">
        <f>IF('Per2'!B57&lt;&gt;"",'Per2'!B57,"")</f>
        <v/>
      </c>
      <c r="C57" s="383"/>
      <c r="D57" s="60" t="str">
        <f>IF('Per2'!D57&lt;&gt;"",'Per2'!D57,"")</f>
        <v/>
      </c>
      <c r="E57" s="143" t="str">
        <f>'Per1'!E57</f>
        <v>Select</v>
      </c>
      <c r="F57" s="144" t="str">
        <f>'Per1'!F57</f>
        <v>Select One</v>
      </c>
      <c r="G57" s="481">
        <f>IF(E57="Hourly",ROUND('Per2'!G57*1.03,2),ROUND('Per2'!G57*1.03,0))</f>
        <v>0</v>
      </c>
      <c r="H57" s="482"/>
      <c r="I57" s="6"/>
      <c r="J57" s="27"/>
      <c r="K57" s="209">
        <f t="shared" si="6"/>
        <v>0</v>
      </c>
      <c r="L57" s="7" t="str">
        <f t="shared" si="2"/>
        <v>-</v>
      </c>
      <c r="M57" s="19">
        <f t="shared" si="3"/>
        <v>0</v>
      </c>
      <c r="N57" s="19">
        <f t="shared" si="4"/>
        <v>0</v>
      </c>
      <c r="O57" s="8">
        <f t="shared" si="5"/>
        <v>0</v>
      </c>
      <c r="P57" s="30"/>
      <c r="Q57" s="14"/>
      <c r="S57" s="146"/>
    </row>
    <row r="58" spans="1:19" ht="13.5" hidden="1" customHeight="1" x14ac:dyDescent="0.2">
      <c r="A58" s="415"/>
      <c r="B58" s="383" t="str">
        <f>IF('Per2'!B58&lt;&gt;"",'Per2'!B58,"")</f>
        <v/>
      </c>
      <c r="C58" s="383"/>
      <c r="D58" s="60" t="str">
        <f>IF('Per2'!D58&lt;&gt;"",'Per2'!D58,"")</f>
        <v/>
      </c>
      <c r="E58" s="143" t="str">
        <f>'Per1'!E58</f>
        <v>Select</v>
      </c>
      <c r="F58" s="144" t="str">
        <f>'Per1'!F58</f>
        <v>Select One</v>
      </c>
      <c r="G58" s="481">
        <f>IF(E58="Hourly",ROUND('Per2'!G58*1.03,2),ROUND('Per2'!G58*1.03,0))</f>
        <v>0</v>
      </c>
      <c r="H58" s="482"/>
      <c r="I58" s="6"/>
      <c r="J58" s="27"/>
      <c r="K58" s="209">
        <f t="shared" si="6"/>
        <v>0</v>
      </c>
      <c r="L58" s="7" t="str">
        <f t="shared" si="2"/>
        <v>-</v>
      </c>
      <c r="M58" s="19">
        <f t="shared" si="3"/>
        <v>0</v>
      </c>
      <c r="N58" s="19">
        <f t="shared" si="4"/>
        <v>0</v>
      </c>
      <c r="O58" s="8">
        <f t="shared" si="5"/>
        <v>0</v>
      </c>
      <c r="P58" s="30"/>
      <c r="Q58" s="14"/>
      <c r="S58" s="146"/>
    </row>
    <row r="59" spans="1:19" ht="13.5" hidden="1" customHeight="1" x14ac:dyDescent="0.2">
      <c r="A59" s="415"/>
      <c r="B59" s="383" t="str">
        <f>IF('Per2'!B59&lt;&gt;"",'Per2'!B59,"")</f>
        <v/>
      </c>
      <c r="C59" s="383"/>
      <c r="D59" s="60" t="str">
        <f>IF('Per2'!D59&lt;&gt;"",'Per2'!D59,"")</f>
        <v/>
      </c>
      <c r="E59" s="143" t="str">
        <f>'Per1'!E59</f>
        <v>Select</v>
      </c>
      <c r="F59" s="144" t="str">
        <f>'Per1'!F59</f>
        <v>Select One</v>
      </c>
      <c r="G59" s="481">
        <f>IF(E59="Hourly",ROUND('Per2'!G59*1.03,2),ROUND('Per2'!G59*1.03,0))</f>
        <v>0</v>
      </c>
      <c r="H59" s="482"/>
      <c r="I59" s="6"/>
      <c r="J59" s="27"/>
      <c r="K59" s="209">
        <f t="shared" si="6"/>
        <v>0</v>
      </c>
      <c r="L59" s="7" t="str">
        <f t="shared" si="2"/>
        <v>-</v>
      </c>
      <c r="M59" s="19">
        <f t="shared" si="3"/>
        <v>0</v>
      </c>
      <c r="N59" s="19">
        <f t="shared" si="4"/>
        <v>0</v>
      </c>
      <c r="O59" s="8">
        <f t="shared" si="5"/>
        <v>0</v>
      </c>
      <c r="P59" s="30"/>
      <c r="Q59" s="14"/>
      <c r="S59" s="146"/>
    </row>
    <row r="60" spans="1:19" ht="13.5" hidden="1" customHeight="1" x14ac:dyDescent="0.2">
      <c r="A60" s="415"/>
      <c r="B60" s="383" t="str">
        <f>IF('Per2'!B60&lt;&gt;"",'Per2'!B60,"")</f>
        <v/>
      </c>
      <c r="C60" s="383"/>
      <c r="D60" s="60" t="str">
        <f>IF('Per2'!D60&lt;&gt;"",'Per2'!D60,"")</f>
        <v/>
      </c>
      <c r="E60" s="143" t="str">
        <f>'Per1'!E60</f>
        <v>Select</v>
      </c>
      <c r="F60" s="144" t="str">
        <f>'Per1'!F60</f>
        <v>Select One</v>
      </c>
      <c r="G60" s="481">
        <f>IF(E60="Hourly",ROUND('Per2'!G60*1.03,2),ROUND('Per2'!G60*1.03,0))</f>
        <v>0</v>
      </c>
      <c r="H60" s="482"/>
      <c r="I60" s="6"/>
      <c r="J60" s="27"/>
      <c r="K60" s="209">
        <f t="shared" si="6"/>
        <v>0</v>
      </c>
      <c r="L60" s="7" t="str">
        <f t="shared" si="2"/>
        <v>-</v>
      </c>
      <c r="M60" s="19">
        <f t="shared" si="3"/>
        <v>0</v>
      </c>
      <c r="N60" s="19">
        <f t="shared" si="4"/>
        <v>0</v>
      </c>
      <c r="O60" s="8">
        <f t="shared" si="5"/>
        <v>0</v>
      </c>
      <c r="P60" s="30"/>
      <c r="Q60" s="14"/>
      <c r="S60" s="146"/>
    </row>
    <row r="61" spans="1:19" ht="13.5" hidden="1" customHeight="1" x14ac:dyDescent="0.2">
      <c r="A61" s="415"/>
      <c r="B61" s="383" t="str">
        <f>IF('Per2'!B61&lt;&gt;"",'Per2'!B61,"")</f>
        <v/>
      </c>
      <c r="C61" s="383"/>
      <c r="D61" s="60" t="str">
        <f>IF('Per2'!D61&lt;&gt;"",'Per2'!D61,"")</f>
        <v/>
      </c>
      <c r="E61" s="143" t="str">
        <f>'Per1'!E61</f>
        <v>Select</v>
      </c>
      <c r="F61" s="144" t="str">
        <f>'Per1'!F61</f>
        <v>Select One</v>
      </c>
      <c r="G61" s="481">
        <f>IF(E61="Hourly",ROUND('Per2'!G61*1.03,2),ROUND('Per2'!G61*1.03,0))</f>
        <v>0</v>
      </c>
      <c r="H61" s="482"/>
      <c r="I61" s="6"/>
      <c r="J61" s="27"/>
      <c r="K61" s="209">
        <f t="shared" si="6"/>
        <v>0</v>
      </c>
      <c r="L61" s="7" t="str">
        <f t="shared" si="2"/>
        <v>-</v>
      </c>
      <c r="M61" s="19">
        <f t="shared" si="3"/>
        <v>0</v>
      </c>
      <c r="N61" s="19">
        <f t="shared" si="4"/>
        <v>0</v>
      </c>
      <c r="O61" s="8">
        <f t="shared" si="5"/>
        <v>0</v>
      </c>
      <c r="P61" s="30"/>
      <c r="Q61" s="14"/>
      <c r="S61" s="146"/>
    </row>
    <row r="62" spans="1:19" ht="13.5" hidden="1" customHeight="1" x14ac:dyDescent="0.2">
      <c r="A62" s="415"/>
      <c r="B62" s="383" t="str">
        <f>IF('Per2'!B62&lt;&gt;"",'Per2'!B62,"")</f>
        <v/>
      </c>
      <c r="C62" s="383"/>
      <c r="D62" s="60" t="str">
        <f>IF('Per2'!D62&lt;&gt;"",'Per2'!D62,"")</f>
        <v/>
      </c>
      <c r="E62" s="143" t="str">
        <f>'Per1'!E62</f>
        <v>Select</v>
      </c>
      <c r="F62" s="144" t="str">
        <f>'Per1'!F62</f>
        <v>Select One</v>
      </c>
      <c r="G62" s="481">
        <f>IF(E62="Hourly",ROUND('Per2'!G62*1.03,2),ROUND('Per2'!G62*1.03,0))</f>
        <v>0</v>
      </c>
      <c r="H62" s="482"/>
      <c r="I62" s="6"/>
      <c r="J62" s="27"/>
      <c r="K62" s="209">
        <f t="shared" si="6"/>
        <v>0</v>
      </c>
      <c r="L62" s="7" t="str">
        <f t="shared" si="2"/>
        <v>-</v>
      </c>
      <c r="M62" s="19">
        <f t="shared" si="3"/>
        <v>0</v>
      </c>
      <c r="N62" s="19">
        <f t="shared" si="4"/>
        <v>0</v>
      </c>
      <c r="O62" s="8">
        <f t="shared" si="5"/>
        <v>0</v>
      </c>
      <c r="P62" s="30"/>
      <c r="Q62" s="14"/>
      <c r="S62" s="146"/>
    </row>
    <row r="63" spans="1:19" ht="13.5" hidden="1" customHeight="1" x14ac:dyDescent="0.2">
      <c r="A63" s="415"/>
      <c r="B63" s="383" t="str">
        <f>IF('Per2'!B63&lt;&gt;"",'Per2'!B63,"")</f>
        <v/>
      </c>
      <c r="C63" s="383"/>
      <c r="D63" s="60" t="str">
        <f>IF('Per2'!D63&lt;&gt;"",'Per2'!D63,"")</f>
        <v/>
      </c>
      <c r="E63" s="143" t="str">
        <f>'Per1'!E63</f>
        <v>Select</v>
      </c>
      <c r="F63" s="144" t="str">
        <f>'Per1'!F63</f>
        <v>Select One</v>
      </c>
      <c r="G63" s="481">
        <f>IF(E63="Hourly",ROUND('Per2'!G63*1.03,2),ROUND('Per2'!G63*1.03,0))</f>
        <v>0</v>
      </c>
      <c r="H63" s="482"/>
      <c r="I63" s="6"/>
      <c r="J63" s="27"/>
      <c r="K63" s="209">
        <f t="shared" si="6"/>
        <v>0</v>
      </c>
      <c r="L63" s="7" t="str">
        <f t="shared" si="2"/>
        <v>-</v>
      </c>
      <c r="M63" s="19">
        <f t="shared" si="3"/>
        <v>0</v>
      </c>
      <c r="N63" s="19">
        <f t="shared" si="4"/>
        <v>0</v>
      </c>
      <c r="O63" s="8">
        <f t="shared" si="5"/>
        <v>0</v>
      </c>
      <c r="P63" s="30"/>
      <c r="Q63" s="14"/>
      <c r="S63" s="146"/>
    </row>
    <row r="64" spans="1:19" ht="13.5" hidden="1" customHeight="1" x14ac:dyDescent="0.2">
      <c r="A64" s="415"/>
      <c r="B64" s="383" t="str">
        <f>IF('Per2'!B64&lt;&gt;"",'Per2'!B64,"")</f>
        <v/>
      </c>
      <c r="C64" s="383"/>
      <c r="D64" s="60" t="str">
        <f>IF('Per2'!D64&lt;&gt;"",'Per2'!D64,"")</f>
        <v/>
      </c>
      <c r="E64" s="143" t="str">
        <f>'Per1'!E64</f>
        <v>Select</v>
      </c>
      <c r="F64" s="144" t="str">
        <f>'Per1'!F64</f>
        <v>Select One</v>
      </c>
      <c r="G64" s="481">
        <f>IF(E64="Hourly",ROUND('Per2'!G64*1.03,2),ROUND('Per2'!G64*1.03,0))</f>
        <v>0</v>
      </c>
      <c r="H64" s="482"/>
      <c r="I64" s="6"/>
      <c r="J64" s="27"/>
      <c r="K64" s="209">
        <f t="shared" si="6"/>
        <v>0</v>
      </c>
      <c r="L64" s="7" t="str">
        <f t="shared" si="2"/>
        <v>-</v>
      </c>
      <c r="M64" s="19">
        <f t="shared" si="3"/>
        <v>0</v>
      </c>
      <c r="N64" s="19">
        <f t="shared" si="4"/>
        <v>0</v>
      </c>
      <c r="O64" s="8">
        <f t="shared" si="5"/>
        <v>0</v>
      </c>
      <c r="P64" s="30"/>
      <c r="S64" s="146"/>
    </row>
    <row r="65" spans="1:19" ht="13.5" hidden="1" customHeight="1" thickBot="1" x14ac:dyDescent="0.25">
      <c r="A65" s="415"/>
      <c r="B65" s="383" t="str">
        <f>IF('Per2'!B65&lt;&gt;"",'Per2'!B65,"")</f>
        <v/>
      </c>
      <c r="C65" s="383"/>
      <c r="D65" s="60" t="str">
        <f>IF('Per2'!D65&lt;&gt;"",'Per2'!D65,"")</f>
        <v/>
      </c>
      <c r="E65" s="143" t="str">
        <f>'Per1'!E65</f>
        <v>Select</v>
      </c>
      <c r="F65" s="144" t="str">
        <f>'Per1'!F65</f>
        <v>Select One</v>
      </c>
      <c r="G65" s="481">
        <f>IF(E65="Hourly",ROUND('Per2'!G65*1.03,2),ROUND('Per2'!G65*1.03,0))</f>
        <v>0</v>
      </c>
      <c r="H65" s="482"/>
      <c r="I65" s="6"/>
      <c r="J65" s="27"/>
      <c r="K65" s="209">
        <f t="shared" si="6"/>
        <v>0</v>
      </c>
      <c r="L65" s="7" t="str">
        <f t="shared" si="2"/>
        <v>-</v>
      </c>
      <c r="M65" s="19">
        <f t="shared" si="3"/>
        <v>0</v>
      </c>
      <c r="N65" s="19">
        <f t="shared" si="4"/>
        <v>0</v>
      </c>
      <c r="O65" s="8">
        <f t="shared" si="5"/>
        <v>0</v>
      </c>
      <c r="P65" s="30"/>
      <c r="S65" s="146"/>
    </row>
    <row r="66" spans="1:19" ht="13.5" customHeight="1" x14ac:dyDescent="0.2">
      <c r="A66" s="415"/>
      <c r="B66" s="504" t="s">
        <v>112</v>
      </c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121" t="s">
        <v>27</v>
      </c>
      <c r="O66" s="139">
        <f>SUM(O67:O68)</f>
        <v>0</v>
      </c>
      <c r="P66" s="147"/>
    </row>
    <row r="67" spans="1:19" ht="13.5" customHeight="1" x14ac:dyDescent="0.2">
      <c r="A67" s="415"/>
      <c r="B67" s="383" t="s">
        <v>113</v>
      </c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4"/>
      <c r="O67" s="11">
        <v>0</v>
      </c>
      <c r="P67" s="30"/>
    </row>
    <row r="68" spans="1:19" ht="13.5" customHeight="1" thickBot="1" x14ac:dyDescent="0.25">
      <c r="A68" s="415"/>
      <c r="B68" s="383" t="s">
        <v>114</v>
      </c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4"/>
      <c r="O68" s="22">
        <v>0</v>
      </c>
      <c r="P68" s="30"/>
    </row>
    <row r="69" spans="1:19" ht="13.5" customHeight="1" x14ac:dyDescent="0.2">
      <c r="A69" s="415"/>
      <c r="B69" s="504" t="s">
        <v>115</v>
      </c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121" t="s">
        <v>27</v>
      </c>
      <c r="O69" s="139">
        <f>SUM(O70,O77:O81)</f>
        <v>0</v>
      </c>
      <c r="P69" s="147"/>
    </row>
    <row r="70" spans="1:19" ht="13.5" customHeight="1" x14ac:dyDescent="0.2">
      <c r="A70" s="415"/>
      <c r="B70" s="523" t="s">
        <v>116</v>
      </c>
      <c r="C70" s="524"/>
      <c r="D70" s="524"/>
      <c r="E70" s="524"/>
      <c r="F70" s="524"/>
      <c r="G70" s="524"/>
      <c r="H70" s="524"/>
      <c r="I70" s="524"/>
      <c r="J70" s="524"/>
      <c r="K70" s="524"/>
      <c r="L70" s="524"/>
      <c r="M70" s="524"/>
      <c r="N70" s="524"/>
      <c r="O70" s="328">
        <f>SUM(N71:N76)</f>
        <v>0</v>
      </c>
      <c r="P70" s="30"/>
    </row>
    <row r="71" spans="1:19" ht="13.5" customHeight="1" x14ac:dyDescent="0.2">
      <c r="A71" s="415"/>
      <c r="B71" s="523" t="s">
        <v>117</v>
      </c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257">
        <v>0</v>
      </c>
      <c r="O71" s="322"/>
      <c r="P71" s="30"/>
    </row>
    <row r="72" spans="1:19" ht="13.5" customHeight="1" x14ac:dyDescent="0.2">
      <c r="A72" s="415"/>
      <c r="B72" s="382" t="s">
        <v>118</v>
      </c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4"/>
      <c r="N72" s="257">
        <v>0</v>
      </c>
      <c r="O72" s="322"/>
      <c r="P72" s="30"/>
    </row>
    <row r="73" spans="1:19" ht="13.5" customHeight="1" x14ac:dyDescent="0.2">
      <c r="A73" s="415"/>
      <c r="B73" s="523" t="s">
        <v>120</v>
      </c>
      <c r="C73" s="524"/>
      <c r="D73" s="524"/>
      <c r="E73" s="524"/>
      <c r="F73" s="524"/>
      <c r="G73" s="524"/>
      <c r="H73" s="524"/>
      <c r="I73" s="524"/>
      <c r="J73" s="524"/>
      <c r="K73" s="524"/>
      <c r="L73" s="524"/>
      <c r="M73" s="524"/>
      <c r="N73" s="257">
        <v>0</v>
      </c>
      <c r="O73" s="322"/>
      <c r="P73" s="30"/>
    </row>
    <row r="74" spans="1:19" ht="13.5" customHeight="1" x14ac:dyDescent="0.2">
      <c r="A74" s="415"/>
      <c r="B74" s="523" t="s">
        <v>121</v>
      </c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257">
        <v>0</v>
      </c>
      <c r="O74" s="322"/>
      <c r="P74" s="30"/>
    </row>
    <row r="75" spans="1:19" ht="13.5" customHeight="1" x14ac:dyDescent="0.2">
      <c r="A75" s="415"/>
      <c r="B75" s="523" t="s">
        <v>122</v>
      </c>
      <c r="C75" s="524"/>
      <c r="D75" s="524"/>
      <c r="E75" s="524"/>
      <c r="F75" s="524"/>
      <c r="G75" s="524"/>
      <c r="H75" s="524"/>
      <c r="I75" s="524"/>
      <c r="J75" s="524"/>
      <c r="K75" s="524"/>
      <c r="L75" s="524"/>
      <c r="M75" s="524"/>
      <c r="N75" s="257">
        <v>0</v>
      </c>
      <c r="O75" s="322"/>
      <c r="P75" s="30"/>
    </row>
    <row r="76" spans="1:19" ht="13.5" customHeight="1" x14ac:dyDescent="0.2">
      <c r="A76" s="415"/>
      <c r="B76" s="523" t="s">
        <v>123</v>
      </c>
      <c r="C76" s="524"/>
      <c r="D76" s="524"/>
      <c r="E76" s="524"/>
      <c r="F76" s="524"/>
      <c r="G76" s="524"/>
      <c r="H76" s="524"/>
      <c r="I76" s="524"/>
      <c r="J76" s="524"/>
      <c r="K76" s="524"/>
      <c r="L76" s="524"/>
      <c r="M76" s="524"/>
      <c r="N76" s="257">
        <v>0</v>
      </c>
      <c r="O76" s="322"/>
      <c r="P76" s="30"/>
    </row>
    <row r="77" spans="1:19" ht="13.5" customHeight="1" x14ac:dyDescent="0.2">
      <c r="A77" s="415"/>
      <c r="B77" s="523" t="s">
        <v>124</v>
      </c>
      <c r="C77" s="524"/>
      <c r="D77" s="524"/>
      <c r="E77" s="524"/>
      <c r="F77" s="524"/>
      <c r="G77" s="524"/>
      <c r="H77" s="524"/>
      <c r="I77" s="524"/>
      <c r="J77" s="524"/>
      <c r="K77" s="524"/>
      <c r="L77" s="524"/>
      <c r="M77" s="524"/>
      <c r="N77" s="524"/>
      <c r="O77" s="258">
        <v>0</v>
      </c>
      <c r="P77" s="30"/>
    </row>
    <row r="78" spans="1:19" ht="13.5" customHeight="1" x14ac:dyDescent="0.2">
      <c r="A78" s="415"/>
      <c r="B78" s="382" t="s">
        <v>125</v>
      </c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4"/>
      <c r="O78" s="258">
        <v>0</v>
      </c>
      <c r="P78" s="30"/>
      <c r="Q78" s="14" t="s">
        <v>127</v>
      </c>
    </row>
    <row r="79" spans="1:19" ht="13.5" customHeight="1" x14ac:dyDescent="0.2">
      <c r="A79" s="415"/>
      <c r="B79" s="523" t="s">
        <v>126</v>
      </c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258">
        <v>0</v>
      </c>
      <c r="P79" s="30"/>
    </row>
    <row r="80" spans="1:19" ht="13.5" customHeight="1" x14ac:dyDescent="0.2">
      <c r="A80" s="415"/>
      <c r="B80" s="523" t="s">
        <v>128</v>
      </c>
      <c r="C80" s="524"/>
      <c r="D80" s="524"/>
      <c r="E80" s="524"/>
      <c r="F80" s="524"/>
      <c r="G80" s="524"/>
      <c r="H80" s="524"/>
      <c r="I80" s="524"/>
      <c r="J80" s="524"/>
      <c r="K80" s="524"/>
      <c r="L80" s="524"/>
      <c r="M80" s="524"/>
      <c r="N80" s="524"/>
      <c r="O80" s="258">
        <v>0</v>
      </c>
      <c r="P80" s="30"/>
    </row>
    <row r="81" spans="1:17" ht="13.5" customHeight="1" thickBot="1" x14ac:dyDescent="0.25">
      <c r="A81" s="416"/>
      <c r="B81" s="564" t="s">
        <v>129</v>
      </c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16">
        <v>0</v>
      </c>
      <c r="P81" s="30"/>
      <c r="Q81" s="224" t="s">
        <v>199</v>
      </c>
    </row>
    <row r="82" spans="1:17" ht="18" customHeight="1" thickBot="1" x14ac:dyDescent="0.25">
      <c r="A82" s="540"/>
      <c r="B82" s="540"/>
      <c r="C82" s="540"/>
      <c r="D82" s="540"/>
      <c r="E82" s="540"/>
      <c r="F82" s="540"/>
      <c r="G82" s="540"/>
      <c r="H82" s="540"/>
      <c r="I82" s="540"/>
      <c r="J82" s="540"/>
      <c r="K82" s="540"/>
      <c r="L82" s="540"/>
      <c r="M82" s="540"/>
      <c r="N82" s="540"/>
      <c r="O82" s="540"/>
      <c r="P82" s="31"/>
      <c r="Q82" s="256" t="s">
        <v>130</v>
      </c>
    </row>
    <row r="83" spans="1:17" ht="13.5" customHeight="1" x14ac:dyDescent="0.2">
      <c r="A83" s="414" t="s">
        <v>131</v>
      </c>
      <c r="B83" s="495" t="s">
        <v>132</v>
      </c>
      <c r="C83" s="495"/>
      <c r="D83" s="495"/>
      <c r="E83" s="495"/>
      <c r="F83" s="495"/>
      <c r="G83" s="495"/>
      <c r="H83" s="495"/>
      <c r="I83" s="495"/>
      <c r="J83" s="495"/>
      <c r="K83" s="495"/>
      <c r="L83" s="495"/>
      <c r="M83" s="495"/>
      <c r="N83" s="121" t="s">
        <v>27</v>
      </c>
      <c r="O83" s="139">
        <f>SUM(O84:O86)</f>
        <v>0</v>
      </c>
      <c r="P83" s="147"/>
    </row>
    <row r="84" spans="1:17" ht="13.5" customHeight="1" x14ac:dyDescent="0.2">
      <c r="A84" s="415"/>
      <c r="B84" s="383" t="s">
        <v>133</v>
      </c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4"/>
      <c r="O84" s="15">
        <v>0</v>
      </c>
      <c r="P84" s="30"/>
    </row>
    <row r="85" spans="1:17" ht="13.5" customHeight="1" x14ac:dyDescent="0.2">
      <c r="A85" s="415"/>
      <c r="B85" s="383" t="s">
        <v>134</v>
      </c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4"/>
      <c r="O85" s="9">
        <v>0</v>
      </c>
      <c r="P85" s="30"/>
    </row>
    <row r="86" spans="1:17" ht="13.5" customHeight="1" thickBot="1" x14ac:dyDescent="0.25">
      <c r="A86" s="415"/>
      <c r="B86" s="501" t="s">
        <v>135</v>
      </c>
      <c r="C86" s="501"/>
      <c r="D86" s="501"/>
      <c r="E86" s="501"/>
      <c r="F86" s="501"/>
      <c r="G86" s="501"/>
      <c r="H86" s="501"/>
      <c r="I86" s="501"/>
      <c r="J86" s="501"/>
      <c r="K86" s="501"/>
      <c r="L86" s="501"/>
      <c r="M86" s="501"/>
      <c r="N86" s="502"/>
      <c r="O86" s="10">
        <v>0</v>
      </c>
      <c r="P86" s="30"/>
    </row>
    <row r="87" spans="1:17" ht="13.5" customHeight="1" x14ac:dyDescent="0.2">
      <c r="A87" s="415"/>
      <c r="B87" s="504" t="s">
        <v>136</v>
      </c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121" t="s">
        <v>27</v>
      </c>
      <c r="O87" s="139">
        <f>SUM(O88:O91)</f>
        <v>0</v>
      </c>
      <c r="P87" s="147"/>
    </row>
    <row r="88" spans="1:17" ht="13.5" customHeight="1" x14ac:dyDescent="0.2">
      <c r="A88" s="415"/>
      <c r="B88" s="506" t="s">
        <v>137</v>
      </c>
      <c r="C88" s="506"/>
      <c r="D88" s="506"/>
      <c r="E88" s="506"/>
      <c r="F88" s="506"/>
      <c r="G88" s="506"/>
      <c r="H88" s="506"/>
      <c r="I88" s="506"/>
      <c r="J88" s="506"/>
      <c r="K88" s="506"/>
      <c r="L88" s="506"/>
      <c r="M88" s="506"/>
      <c r="N88" s="507"/>
      <c r="O88" s="11">
        <v>0</v>
      </c>
      <c r="P88" s="30"/>
    </row>
    <row r="89" spans="1:17" ht="13.5" customHeight="1" x14ac:dyDescent="0.2">
      <c r="A89" s="415"/>
      <c r="B89" s="509" t="s">
        <v>138</v>
      </c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10"/>
      <c r="O89" s="13">
        <v>0</v>
      </c>
      <c r="P89" s="30"/>
      <c r="Q89" s="14" t="s">
        <v>139</v>
      </c>
    </row>
    <row r="90" spans="1:17" ht="13.5" customHeight="1" x14ac:dyDescent="0.2">
      <c r="A90" s="415"/>
      <c r="B90" s="383" t="s">
        <v>140</v>
      </c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4"/>
      <c r="O90" s="13">
        <v>0</v>
      </c>
      <c r="P90" s="30"/>
    </row>
    <row r="91" spans="1:17" ht="13.5" customHeight="1" thickBot="1" x14ac:dyDescent="0.25">
      <c r="A91" s="415"/>
      <c r="B91" s="501" t="s">
        <v>141</v>
      </c>
      <c r="C91" s="501"/>
      <c r="D91" s="501"/>
      <c r="E91" s="501"/>
      <c r="F91" s="501"/>
      <c r="G91" s="501"/>
      <c r="H91" s="501"/>
      <c r="I91" s="501"/>
      <c r="J91" s="501"/>
      <c r="K91" s="501"/>
      <c r="L91" s="501"/>
      <c r="M91" s="501"/>
      <c r="N91" s="502"/>
      <c r="O91" s="16">
        <v>0</v>
      </c>
      <c r="P91" s="30"/>
      <c r="Q91" s="14" t="s">
        <v>142</v>
      </c>
    </row>
    <row r="92" spans="1:17" ht="13.5" customHeight="1" x14ac:dyDescent="0.2">
      <c r="A92" s="415"/>
      <c r="B92" s="563" t="s">
        <v>143</v>
      </c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121" t="s">
        <v>27</v>
      </c>
      <c r="O92" s="148">
        <f>SUM(O93:O97)</f>
        <v>0</v>
      </c>
      <c r="P92" s="147"/>
    </row>
    <row r="93" spans="1:17" ht="13.5" customHeight="1" x14ac:dyDescent="0.2">
      <c r="A93" s="415"/>
      <c r="B93" s="388" t="s">
        <v>144</v>
      </c>
      <c r="C93" s="389"/>
      <c r="D93" s="389"/>
      <c r="E93" s="389"/>
      <c r="F93" s="389"/>
      <c r="G93" s="389"/>
      <c r="H93" s="389"/>
      <c r="I93" s="389"/>
      <c r="J93" s="389"/>
      <c r="K93" s="389"/>
      <c r="L93" s="389"/>
      <c r="M93" s="389"/>
      <c r="N93" s="390"/>
      <c r="O93" s="149">
        <v>0</v>
      </c>
      <c r="P93" s="147"/>
      <c r="Q93" s="14" t="s">
        <v>145</v>
      </c>
    </row>
    <row r="94" spans="1:17" ht="13.5" customHeight="1" x14ac:dyDescent="0.2">
      <c r="A94" s="415"/>
      <c r="B94" s="383" t="s">
        <v>146</v>
      </c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4"/>
      <c r="O94" s="13">
        <v>0</v>
      </c>
      <c r="P94" s="30"/>
    </row>
    <row r="95" spans="1:17" ht="13.5" customHeight="1" x14ac:dyDescent="0.2">
      <c r="A95" s="415"/>
      <c r="B95" s="383" t="s">
        <v>147</v>
      </c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4"/>
      <c r="O95" s="12">
        <v>0</v>
      </c>
      <c r="P95" s="30"/>
    </row>
    <row r="96" spans="1:17" ht="13.5" customHeight="1" x14ac:dyDescent="0.2">
      <c r="A96" s="415"/>
      <c r="B96" s="382" t="s">
        <v>148</v>
      </c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4"/>
      <c r="O96" s="12">
        <v>0</v>
      </c>
      <c r="P96" s="30"/>
    </row>
    <row r="97" spans="1:17" ht="13.5" customHeight="1" thickBot="1" x14ac:dyDescent="0.25">
      <c r="A97" s="415"/>
      <c r="B97" s="382" t="s">
        <v>149</v>
      </c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4"/>
      <c r="O97" s="12">
        <v>0</v>
      </c>
      <c r="P97" s="30"/>
    </row>
    <row r="98" spans="1:17" ht="18" customHeight="1" thickBot="1" x14ac:dyDescent="0.25">
      <c r="A98" s="18"/>
      <c r="B98" s="467"/>
      <c r="C98" s="467"/>
      <c r="D98" s="467"/>
      <c r="E98" s="467"/>
      <c r="F98" s="467"/>
      <c r="G98" s="467"/>
      <c r="H98" s="467"/>
      <c r="I98" s="467"/>
      <c r="J98" s="467"/>
      <c r="K98" s="467"/>
      <c r="L98" s="467"/>
      <c r="M98" s="467"/>
      <c r="N98" s="467"/>
      <c r="O98" s="467"/>
      <c r="P98" s="32"/>
    </row>
    <row r="99" spans="1:17" ht="13.5" customHeight="1" x14ac:dyDescent="0.2">
      <c r="A99" s="414" t="s">
        <v>150</v>
      </c>
      <c r="B99" s="469" t="s">
        <v>151</v>
      </c>
      <c r="C99" s="560"/>
      <c r="D99" s="560"/>
      <c r="E99" s="560"/>
      <c r="F99" s="560"/>
      <c r="G99" s="560"/>
      <c r="H99" s="560"/>
      <c r="I99" s="560"/>
      <c r="J99" s="560"/>
      <c r="K99" s="560"/>
      <c r="L99" s="560"/>
      <c r="M99" s="560"/>
      <c r="N99" s="36" t="s">
        <v>152</v>
      </c>
      <c r="O99" s="236">
        <f>J121</f>
        <v>0</v>
      </c>
      <c r="P99" s="30"/>
    </row>
    <row r="100" spans="1:17" ht="41.25" customHeight="1" x14ac:dyDescent="0.2">
      <c r="A100" s="415"/>
      <c r="B100" s="470" t="s">
        <v>153</v>
      </c>
      <c r="C100" s="21" t="s">
        <v>154</v>
      </c>
      <c r="D100" s="21"/>
      <c r="E100" s="21"/>
      <c r="F100" s="473" t="s">
        <v>155</v>
      </c>
      <c r="G100" s="474"/>
      <c r="H100" s="475" t="s">
        <v>156</v>
      </c>
      <c r="I100" s="475"/>
      <c r="J100" s="61" t="s">
        <v>157</v>
      </c>
      <c r="K100" s="242" t="s">
        <v>158</v>
      </c>
      <c r="L100" s="243" t="s">
        <v>159</v>
      </c>
      <c r="M100" s="244" t="s">
        <v>160</v>
      </c>
      <c r="N100" s="367" t="s">
        <v>161</v>
      </c>
      <c r="O100" s="368"/>
    </row>
    <row r="101" spans="1:17" ht="13.5" customHeight="1" x14ac:dyDescent="0.2">
      <c r="A101" s="415"/>
      <c r="B101" s="471"/>
      <c r="C101" s="372">
        <f>'Per1'!C101:E101</f>
        <v>0</v>
      </c>
      <c r="D101" s="373"/>
      <c r="E101" s="374"/>
      <c r="F101" s="393">
        <v>0</v>
      </c>
      <c r="G101" s="393"/>
      <c r="H101" s="393">
        <v>0</v>
      </c>
      <c r="I101" s="393"/>
      <c r="J101" s="330">
        <f>F101+H101</f>
        <v>0</v>
      </c>
      <c r="K101" s="245">
        <f>IF((J101+'Per1'!J101+'Per2'!J101)&lt;=24999,J101, 25000-'Per1'!K101-'Per2'!K101)</f>
        <v>0</v>
      </c>
      <c r="L101" s="331">
        <f>F101+H101-K101</f>
        <v>0</v>
      </c>
      <c r="M101" s="331">
        <f t="shared" ref="M101:M120" si="7">ROUND(IF(($L$7-VLOOKUP($G$123,$I$124:$K$142,3,FALSE))&lt;0,$K101,ROUND((1-($L$7-VLOOKUP($G$123,$I$124:$K$142,3,FALSE))/($L$7 +1 - $L$5))*$K101,0))*M$147,0) +ROUND(IF(($L$7-VLOOKUP($G$123,$I$124:$K$142,3,FALSE))&lt;0,0,ROUND(($L$7-VLOOKUP($G$123,$I$124:$K$142,3,FALSE))/($L$7 +1 - $L$5)*$K101,0))*M$148,0)</f>
        <v>0</v>
      </c>
      <c r="N101" s="365">
        <f>K101+L101+M101</f>
        <v>0</v>
      </c>
      <c r="O101" s="366"/>
    </row>
    <row r="102" spans="1:17" ht="13.5" customHeight="1" x14ac:dyDescent="0.2">
      <c r="A102" s="415"/>
      <c r="B102" s="471"/>
      <c r="C102" s="372">
        <f>'Per1'!C102:E102</f>
        <v>0</v>
      </c>
      <c r="D102" s="373"/>
      <c r="E102" s="374"/>
      <c r="F102" s="393">
        <v>0</v>
      </c>
      <c r="G102" s="393"/>
      <c r="H102" s="393">
        <v>0</v>
      </c>
      <c r="I102" s="393"/>
      <c r="J102" s="330">
        <f t="shared" ref="J102:J120" si="8">F102+H102</f>
        <v>0</v>
      </c>
      <c r="K102" s="245">
        <f>IF((J102+'Per1'!J102+'Per2'!J102)&lt;=24999,J102, 25000-'Per1'!K102-'Per2'!K102)</f>
        <v>0</v>
      </c>
      <c r="L102" s="331">
        <f>F102+H102-K102</f>
        <v>0</v>
      </c>
      <c r="M102" s="331">
        <f t="shared" si="7"/>
        <v>0</v>
      </c>
      <c r="N102" s="365">
        <f t="shared" ref="N102:N120" si="9">K102+L102+M102</f>
        <v>0</v>
      </c>
      <c r="O102" s="366"/>
    </row>
    <row r="103" spans="1:17" ht="13.5" customHeight="1" x14ac:dyDescent="0.2">
      <c r="A103" s="415"/>
      <c r="B103" s="471"/>
      <c r="C103" s="372">
        <f>'Per1'!C103:E103</f>
        <v>0</v>
      </c>
      <c r="D103" s="373"/>
      <c r="E103" s="374"/>
      <c r="F103" s="393">
        <v>0</v>
      </c>
      <c r="G103" s="393"/>
      <c r="H103" s="393">
        <v>0</v>
      </c>
      <c r="I103" s="393"/>
      <c r="J103" s="330">
        <f t="shared" si="8"/>
        <v>0</v>
      </c>
      <c r="K103" s="245">
        <f>IF((J103+'Per1'!J103+'Per2'!J103)&lt;=24999,J103, 25000-'Per1'!K103-'Per2'!K103)</f>
        <v>0</v>
      </c>
      <c r="L103" s="331">
        <f>F103+H103-K103</f>
        <v>0</v>
      </c>
      <c r="M103" s="331">
        <f t="shared" si="7"/>
        <v>0</v>
      </c>
      <c r="N103" s="365">
        <f t="shared" si="9"/>
        <v>0</v>
      </c>
      <c r="O103" s="366"/>
    </row>
    <row r="104" spans="1:17" ht="13.5" customHeight="1" x14ac:dyDescent="0.2">
      <c r="A104" s="415"/>
      <c r="B104" s="471"/>
      <c r="C104" s="372">
        <f>'Per1'!C104:E104</f>
        <v>0</v>
      </c>
      <c r="D104" s="373"/>
      <c r="E104" s="374"/>
      <c r="F104" s="393">
        <v>0</v>
      </c>
      <c r="G104" s="393"/>
      <c r="H104" s="393">
        <v>0</v>
      </c>
      <c r="I104" s="393"/>
      <c r="J104" s="330">
        <f t="shared" si="8"/>
        <v>0</v>
      </c>
      <c r="K104" s="245">
        <f>IF((J104+'Per1'!J104+'Per2'!J104)&lt;=24999,J104, 25000-'Per1'!K104-'Per2'!K104)</f>
        <v>0</v>
      </c>
      <c r="L104" s="331">
        <f>F104+H104-K104</f>
        <v>0</v>
      </c>
      <c r="M104" s="331">
        <f t="shared" si="7"/>
        <v>0</v>
      </c>
      <c r="N104" s="365">
        <f t="shared" si="9"/>
        <v>0</v>
      </c>
      <c r="O104" s="366"/>
    </row>
    <row r="105" spans="1:17" ht="13.5" customHeight="1" x14ac:dyDescent="0.2">
      <c r="A105" s="415"/>
      <c r="B105" s="471"/>
      <c r="C105" s="372">
        <f>'Per1'!C105:E105</f>
        <v>0</v>
      </c>
      <c r="D105" s="373"/>
      <c r="E105" s="374"/>
      <c r="F105" s="375">
        <v>0</v>
      </c>
      <c r="G105" s="375"/>
      <c r="H105" s="375">
        <v>0</v>
      </c>
      <c r="I105" s="375"/>
      <c r="J105" s="332">
        <f t="shared" si="8"/>
        <v>0</v>
      </c>
      <c r="K105" s="245">
        <f>IF((J105+'Per1'!J105+'Per2'!J105)&lt;=24999,J105, 25000-'Per1'!K105-'Per2'!K105)</f>
        <v>0</v>
      </c>
      <c r="L105" s="333">
        <f>F105+H105-K105</f>
        <v>0</v>
      </c>
      <c r="M105" s="331">
        <f t="shared" si="7"/>
        <v>0</v>
      </c>
      <c r="N105" s="561">
        <f t="shared" si="9"/>
        <v>0</v>
      </c>
      <c r="O105" s="562"/>
      <c r="Q105" s="224" t="s">
        <v>162</v>
      </c>
    </row>
    <row r="106" spans="1:17" ht="13.5" customHeight="1" thickBot="1" x14ac:dyDescent="0.25">
      <c r="A106" s="415"/>
      <c r="B106" s="471"/>
      <c r="C106" s="372">
        <f>'Per1'!C106:E106</f>
        <v>0</v>
      </c>
      <c r="D106" s="373"/>
      <c r="E106" s="374"/>
      <c r="F106" s="375">
        <v>0</v>
      </c>
      <c r="G106" s="375"/>
      <c r="H106" s="375">
        <v>0</v>
      </c>
      <c r="I106" s="375"/>
      <c r="J106" s="332">
        <f t="shared" si="8"/>
        <v>0</v>
      </c>
      <c r="K106" s="245">
        <f>IF((J106+'Per1'!J106+'Per2'!J106)&lt;=24999,J106, 25000-'Per1'!K106-'Per2'!K106)</f>
        <v>0</v>
      </c>
      <c r="L106" s="333">
        <f t="shared" ref="L106:L120" si="10">F106+H106-K106</f>
        <v>0</v>
      </c>
      <c r="M106" s="331">
        <f t="shared" si="7"/>
        <v>0</v>
      </c>
      <c r="N106" s="365">
        <f t="shared" si="9"/>
        <v>0</v>
      </c>
      <c r="O106" s="366"/>
    </row>
    <row r="107" spans="1:17" ht="13.5" hidden="1" customHeight="1" x14ac:dyDescent="0.2">
      <c r="A107" s="415"/>
      <c r="B107" s="471"/>
      <c r="C107" s="372">
        <f>'Per1'!C107:E107</f>
        <v>0</v>
      </c>
      <c r="D107" s="373"/>
      <c r="E107" s="374"/>
      <c r="F107" s="375">
        <v>0</v>
      </c>
      <c r="G107" s="375"/>
      <c r="H107" s="375">
        <v>0</v>
      </c>
      <c r="I107" s="375"/>
      <c r="J107" s="332">
        <f t="shared" si="8"/>
        <v>0</v>
      </c>
      <c r="K107" s="245">
        <f>IF((J107+'Per1'!J107+'Per2'!J107)&lt;=24999,J107, 25000-'Per1'!K107-'Per2'!K107)</f>
        <v>0</v>
      </c>
      <c r="L107" s="333">
        <f t="shared" si="10"/>
        <v>0</v>
      </c>
      <c r="M107" s="331">
        <f t="shared" si="7"/>
        <v>0</v>
      </c>
      <c r="N107" s="365">
        <f t="shared" si="9"/>
        <v>0</v>
      </c>
      <c r="O107" s="366"/>
    </row>
    <row r="108" spans="1:17" ht="13.5" hidden="1" customHeight="1" x14ac:dyDescent="0.2">
      <c r="A108" s="415"/>
      <c r="B108" s="471"/>
      <c r="C108" s="372">
        <f>'Per1'!C108:E108</f>
        <v>0</v>
      </c>
      <c r="D108" s="373"/>
      <c r="E108" s="374"/>
      <c r="F108" s="375">
        <v>0</v>
      </c>
      <c r="G108" s="375"/>
      <c r="H108" s="375">
        <v>0</v>
      </c>
      <c r="I108" s="375"/>
      <c r="J108" s="332">
        <f t="shared" si="8"/>
        <v>0</v>
      </c>
      <c r="K108" s="245">
        <f>IF((J108+'Per1'!J108+'Per2'!J108)&lt;=24999,J108, 25000-'Per1'!K108-'Per2'!K108)</f>
        <v>0</v>
      </c>
      <c r="L108" s="333">
        <f t="shared" si="10"/>
        <v>0</v>
      </c>
      <c r="M108" s="331">
        <f t="shared" si="7"/>
        <v>0</v>
      </c>
      <c r="N108" s="365">
        <f t="shared" si="9"/>
        <v>0</v>
      </c>
      <c r="O108" s="366"/>
    </row>
    <row r="109" spans="1:17" ht="13.5" hidden="1" customHeight="1" x14ac:dyDescent="0.2">
      <c r="A109" s="415"/>
      <c r="B109" s="471"/>
      <c r="C109" s="372">
        <f>'Per1'!C109:E109</f>
        <v>0</v>
      </c>
      <c r="D109" s="373"/>
      <c r="E109" s="374"/>
      <c r="F109" s="375">
        <v>0</v>
      </c>
      <c r="G109" s="375"/>
      <c r="H109" s="375">
        <v>0</v>
      </c>
      <c r="I109" s="375"/>
      <c r="J109" s="332">
        <f t="shared" si="8"/>
        <v>0</v>
      </c>
      <c r="K109" s="245">
        <f>IF((J109+'Per1'!J109+'Per2'!J109)&lt;=24999,J109, 25000-'Per1'!K109-'Per2'!K109)</f>
        <v>0</v>
      </c>
      <c r="L109" s="333">
        <f t="shared" si="10"/>
        <v>0</v>
      </c>
      <c r="M109" s="331">
        <f t="shared" si="7"/>
        <v>0</v>
      </c>
      <c r="N109" s="365">
        <f t="shared" si="9"/>
        <v>0</v>
      </c>
      <c r="O109" s="366"/>
    </row>
    <row r="110" spans="1:17" ht="13.5" hidden="1" customHeight="1" x14ac:dyDescent="0.2">
      <c r="A110" s="415"/>
      <c r="B110" s="471"/>
      <c r="C110" s="372">
        <f>'Per1'!C110:E110</f>
        <v>0</v>
      </c>
      <c r="D110" s="373"/>
      <c r="E110" s="374"/>
      <c r="F110" s="375">
        <v>0</v>
      </c>
      <c r="G110" s="375"/>
      <c r="H110" s="375">
        <v>0</v>
      </c>
      <c r="I110" s="375"/>
      <c r="J110" s="332">
        <f t="shared" si="8"/>
        <v>0</v>
      </c>
      <c r="K110" s="245">
        <f>IF((J110+'Per1'!J110+'Per2'!J110)&lt;=24999,J110, 25000-'Per1'!K110-'Per2'!K110)</f>
        <v>0</v>
      </c>
      <c r="L110" s="333">
        <f t="shared" si="10"/>
        <v>0</v>
      </c>
      <c r="M110" s="331">
        <f t="shared" si="7"/>
        <v>0</v>
      </c>
      <c r="N110" s="365">
        <f t="shared" si="9"/>
        <v>0</v>
      </c>
      <c r="O110" s="366"/>
    </row>
    <row r="111" spans="1:17" ht="13.5" hidden="1" customHeight="1" x14ac:dyDescent="0.2">
      <c r="A111" s="415"/>
      <c r="B111" s="471"/>
      <c r="C111" s="372">
        <f>'Per1'!C111:E111</f>
        <v>0</v>
      </c>
      <c r="D111" s="373"/>
      <c r="E111" s="374"/>
      <c r="F111" s="375">
        <v>0</v>
      </c>
      <c r="G111" s="375"/>
      <c r="H111" s="375">
        <v>0</v>
      </c>
      <c r="I111" s="375"/>
      <c r="J111" s="332">
        <f t="shared" si="8"/>
        <v>0</v>
      </c>
      <c r="K111" s="245">
        <f>IF((J111+'Per1'!J111+'Per2'!J111)&lt;=24999,J111, 25000-'Per1'!K111-'Per2'!K111)</f>
        <v>0</v>
      </c>
      <c r="L111" s="333">
        <f t="shared" si="10"/>
        <v>0</v>
      </c>
      <c r="M111" s="331">
        <f t="shared" si="7"/>
        <v>0</v>
      </c>
      <c r="N111" s="365">
        <f t="shared" si="9"/>
        <v>0</v>
      </c>
      <c r="O111" s="366"/>
    </row>
    <row r="112" spans="1:17" ht="13.5" hidden="1" customHeight="1" x14ac:dyDescent="0.2">
      <c r="A112" s="415"/>
      <c r="B112" s="471"/>
      <c r="C112" s="372">
        <f>'Per1'!C112:E112</f>
        <v>0</v>
      </c>
      <c r="D112" s="373"/>
      <c r="E112" s="374"/>
      <c r="F112" s="375">
        <v>0</v>
      </c>
      <c r="G112" s="375"/>
      <c r="H112" s="375">
        <v>0</v>
      </c>
      <c r="I112" s="375"/>
      <c r="J112" s="332">
        <f t="shared" si="8"/>
        <v>0</v>
      </c>
      <c r="K112" s="245">
        <f>IF((J112+'Per1'!J112+'Per2'!J112)&lt;=24999,J112, 25000-'Per1'!K112-'Per2'!K112)</f>
        <v>0</v>
      </c>
      <c r="L112" s="333">
        <f t="shared" si="10"/>
        <v>0</v>
      </c>
      <c r="M112" s="331">
        <f t="shared" si="7"/>
        <v>0</v>
      </c>
      <c r="N112" s="365">
        <f t="shared" si="9"/>
        <v>0</v>
      </c>
      <c r="O112" s="366"/>
    </row>
    <row r="113" spans="1:15" ht="13.5" hidden="1" customHeight="1" x14ac:dyDescent="0.2">
      <c r="A113" s="415"/>
      <c r="B113" s="471"/>
      <c r="C113" s="372">
        <f>'Per1'!C113:E113</f>
        <v>0</v>
      </c>
      <c r="D113" s="373"/>
      <c r="E113" s="374"/>
      <c r="F113" s="375">
        <v>0</v>
      </c>
      <c r="G113" s="375"/>
      <c r="H113" s="375">
        <v>0</v>
      </c>
      <c r="I113" s="375"/>
      <c r="J113" s="332">
        <f t="shared" si="8"/>
        <v>0</v>
      </c>
      <c r="K113" s="245">
        <f>IF((J113+'Per1'!J113+'Per2'!J113)&lt;=24999,J113, 25000-'Per1'!K113-'Per2'!K113)</f>
        <v>0</v>
      </c>
      <c r="L113" s="333">
        <f t="shared" si="10"/>
        <v>0</v>
      </c>
      <c r="M113" s="331">
        <f t="shared" si="7"/>
        <v>0</v>
      </c>
      <c r="N113" s="365">
        <f t="shared" si="9"/>
        <v>0</v>
      </c>
      <c r="O113" s="366"/>
    </row>
    <row r="114" spans="1:15" ht="13.5" hidden="1" customHeight="1" x14ac:dyDescent="0.2">
      <c r="A114" s="415"/>
      <c r="B114" s="471"/>
      <c r="C114" s="372">
        <f>'Per1'!C114:E114</f>
        <v>0</v>
      </c>
      <c r="D114" s="373"/>
      <c r="E114" s="374"/>
      <c r="F114" s="375">
        <v>0</v>
      </c>
      <c r="G114" s="375"/>
      <c r="H114" s="375">
        <v>0</v>
      </c>
      <c r="I114" s="375"/>
      <c r="J114" s="332">
        <f t="shared" si="8"/>
        <v>0</v>
      </c>
      <c r="K114" s="245">
        <f>IF((J114+'Per1'!J114+'Per2'!J114)&lt;=24999,J114, 25000-'Per1'!K114-'Per2'!K114)</f>
        <v>0</v>
      </c>
      <c r="L114" s="333">
        <f t="shared" si="10"/>
        <v>0</v>
      </c>
      <c r="M114" s="331">
        <f t="shared" si="7"/>
        <v>0</v>
      </c>
      <c r="N114" s="365">
        <f t="shared" si="9"/>
        <v>0</v>
      </c>
      <c r="O114" s="366"/>
    </row>
    <row r="115" spans="1:15" ht="13.5" hidden="1" customHeight="1" x14ac:dyDescent="0.2">
      <c r="A115" s="415"/>
      <c r="B115" s="471"/>
      <c r="C115" s="372">
        <f>'Per1'!C115:E115</f>
        <v>0</v>
      </c>
      <c r="D115" s="373"/>
      <c r="E115" s="374"/>
      <c r="F115" s="375">
        <v>0</v>
      </c>
      <c r="G115" s="375"/>
      <c r="H115" s="375">
        <v>0</v>
      </c>
      <c r="I115" s="375"/>
      <c r="J115" s="332">
        <f t="shared" si="8"/>
        <v>0</v>
      </c>
      <c r="K115" s="245">
        <f>IF((J115+'Per1'!J115+'Per2'!J115)&lt;=24999,J115, 25000-'Per1'!K115-'Per2'!K115)</f>
        <v>0</v>
      </c>
      <c r="L115" s="333">
        <f t="shared" si="10"/>
        <v>0</v>
      </c>
      <c r="M115" s="331">
        <f t="shared" si="7"/>
        <v>0</v>
      </c>
      <c r="N115" s="365">
        <f t="shared" si="9"/>
        <v>0</v>
      </c>
      <c r="O115" s="366"/>
    </row>
    <row r="116" spans="1:15" ht="13.5" hidden="1" customHeight="1" x14ac:dyDescent="0.2">
      <c r="A116" s="415"/>
      <c r="B116" s="471"/>
      <c r="C116" s="372">
        <f>'Per1'!C116:E116</f>
        <v>0</v>
      </c>
      <c r="D116" s="373"/>
      <c r="E116" s="374"/>
      <c r="F116" s="375">
        <v>0</v>
      </c>
      <c r="G116" s="375"/>
      <c r="H116" s="375">
        <v>0</v>
      </c>
      <c r="I116" s="375"/>
      <c r="J116" s="332">
        <f t="shared" si="8"/>
        <v>0</v>
      </c>
      <c r="K116" s="245">
        <f>IF((J116+'Per1'!J116+'Per2'!J116)&lt;=24999,J116, 25000-'Per1'!K116-'Per2'!K116)</f>
        <v>0</v>
      </c>
      <c r="L116" s="333">
        <f t="shared" si="10"/>
        <v>0</v>
      </c>
      <c r="M116" s="331">
        <f t="shared" si="7"/>
        <v>0</v>
      </c>
      <c r="N116" s="365">
        <f t="shared" si="9"/>
        <v>0</v>
      </c>
      <c r="O116" s="366"/>
    </row>
    <row r="117" spans="1:15" ht="13.5" hidden="1" customHeight="1" x14ac:dyDescent="0.2">
      <c r="A117" s="415"/>
      <c r="B117" s="471"/>
      <c r="C117" s="372">
        <f>'Per1'!C117:E117</f>
        <v>0</v>
      </c>
      <c r="D117" s="373"/>
      <c r="E117" s="374"/>
      <c r="F117" s="375">
        <v>0</v>
      </c>
      <c r="G117" s="375"/>
      <c r="H117" s="375">
        <v>0</v>
      </c>
      <c r="I117" s="375"/>
      <c r="J117" s="332">
        <f t="shared" si="8"/>
        <v>0</v>
      </c>
      <c r="K117" s="245">
        <f>IF((J117+'Per1'!J117+'Per2'!J117)&lt;=24999,J117, 25000-'Per1'!K117-'Per2'!K117)</f>
        <v>0</v>
      </c>
      <c r="L117" s="333">
        <f t="shared" si="10"/>
        <v>0</v>
      </c>
      <c r="M117" s="331">
        <f t="shared" si="7"/>
        <v>0</v>
      </c>
      <c r="N117" s="365">
        <f t="shared" si="9"/>
        <v>0</v>
      </c>
      <c r="O117" s="366"/>
    </row>
    <row r="118" spans="1:15" ht="13.5" hidden="1" customHeight="1" x14ac:dyDescent="0.2">
      <c r="A118" s="415"/>
      <c r="B118" s="471"/>
      <c r="C118" s="372">
        <f>'Per1'!C118:E118</f>
        <v>0</v>
      </c>
      <c r="D118" s="373"/>
      <c r="E118" s="374"/>
      <c r="F118" s="375">
        <v>0</v>
      </c>
      <c r="G118" s="375"/>
      <c r="H118" s="375">
        <v>0</v>
      </c>
      <c r="I118" s="375"/>
      <c r="J118" s="332">
        <f t="shared" si="8"/>
        <v>0</v>
      </c>
      <c r="K118" s="245">
        <f>IF((J118+'Per1'!J118+'Per2'!J118)&lt;=24999,J118, 25000-'Per1'!K118-'Per2'!K118)</f>
        <v>0</v>
      </c>
      <c r="L118" s="333">
        <f t="shared" si="10"/>
        <v>0</v>
      </c>
      <c r="M118" s="331">
        <f t="shared" si="7"/>
        <v>0</v>
      </c>
      <c r="N118" s="365">
        <f t="shared" si="9"/>
        <v>0</v>
      </c>
      <c r="O118" s="366"/>
    </row>
    <row r="119" spans="1:15" ht="13.5" hidden="1" customHeight="1" x14ac:dyDescent="0.2">
      <c r="A119" s="415"/>
      <c r="B119" s="471"/>
      <c r="C119" s="372">
        <f>'Per1'!C119:E119</f>
        <v>0</v>
      </c>
      <c r="D119" s="373"/>
      <c r="E119" s="374"/>
      <c r="F119" s="375">
        <v>0</v>
      </c>
      <c r="G119" s="375"/>
      <c r="H119" s="375">
        <v>0</v>
      </c>
      <c r="I119" s="375"/>
      <c r="J119" s="332">
        <f t="shared" si="8"/>
        <v>0</v>
      </c>
      <c r="K119" s="245">
        <f>IF((J119+'Per1'!J119+'Per2'!J119)&lt;=24999,J119, 25000-'Per1'!K119-'Per2'!K119)</f>
        <v>0</v>
      </c>
      <c r="L119" s="333">
        <f t="shared" si="10"/>
        <v>0</v>
      </c>
      <c r="M119" s="331">
        <f t="shared" si="7"/>
        <v>0</v>
      </c>
      <c r="N119" s="365">
        <f t="shared" si="9"/>
        <v>0</v>
      </c>
      <c r="O119" s="366"/>
    </row>
    <row r="120" spans="1:15" ht="13.5" hidden="1" customHeight="1" thickBot="1" x14ac:dyDescent="0.25">
      <c r="A120" s="415"/>
      <c r="B120" s="471"/>
      <c r="C120" s="372">
        <f>'Per1'!C120:E120</f>
        <v>0</v>
      </c>
      <c r="D120" s="373"/>
      <c r="E120" s="374"/>
      <c r="F120" s="375">
        <v>0</v>
      </c>
      <c r="G120" s="375"/>
      <c r="H120" s="375">
        <v>0</v>
      </c>
      <c r="I120" s="375"/>
      <c r="J120" s="332">
        <f t="shared" si="8"/>
        <v>0</v>
      </c>
      <c r="K120" s="245">
        <f>IF((J120+'Per1'!J120+'Per2'!J120)&lt;=24999,J120, 25000-'Per1'!K120-'Per2'!K120)</f>
        <v>0</v>
      </c>
      <c r="L120" s="333">
        <f t="shared" si="10"/>
        <v>0</v>
      </c>
      <c r="M120" s="331">
        <f t="shared" si="7"/>
        <v>0</v>
      </c>
      <c r="N120" s="479">
        <f t="shared" si="9"/>
        <v>0</v>
      </c>
      <c r="O120" s="480"/>
    </row>
    <row r="121" spans="1:15" ht="13.5" customHeight="1" thickBot="1" x14ac:dyDescent="0.25">
      <c r="A121" s="416"/>
      <c r="B121" s="472"/>
      <c r="C121" s="436" t="s">
        <v>163</v>
      </c>
      <c r="D121" s="436"/>
      <c r="E121" s="437"/>
      <c r="F121" s="379">
        <f>SUM(F101:G120)</f>
        <v>0</v>
      </c>
      <c r="G121" s="379"/>
      <c r="H121" s="379">
        <f>SUM(H101:I120)</f>
        <v>0</v>
      </c>
      <c r="I121" s="379"/>
      <c r="J121" s="334">
        <f>SUM(J101:J120)</f>
        <v>0</v>
      </c>
      <c r="K121" s="247">
        <f>SUM(K101:K120)</f>
        <v>0</v>
      </c>
      <c r="L121" s="335">
        <f>SUM(L101:L120)</f>
        <v>0</v>
      </c>
      <c r="M121" s="336">
        <f>SUM(M101:M120)</f>
        <v>0</v>
      </c>
      <c r="N121" s="248"/>
      <c r="O121" s="249"/>
    </row>
    <row r="122" spans="1:15" ht="13.5" hidden="1" customHeight="1" x14ac:dyDescent="0.2">
      <c r="A122" s="114"/>
      <c r="B122" s="115"/>
      <c r="C122" s="116"/>
      <c r="D122" s="116"/>
      <c r="E122" s="116"/>
      <c r="F122" s="117"/>
      <c r="G122" s="117"/>
      <c r="H122" s="117"/>
      <c r="I122" s="117"/>
      <c r="J122" s="23"/>
      <c r="K122" s="157"/>
      <c r="L122" s="23"/>
      <c r="M122" s="23"/>
      <c r="N122" s="117"/>
    </row>
    <row r="123" spans="1:15" ht="13.5" hidden="1" customHeight="1" x14ac:dyDescent="0.2">
      <c r="A123" s="221"/>
      <c r="B123" s="218"/>
      <c r="C123" s="218"/>
      <c r="D123" s="218"/>
      <c r="E123" s="218"/>
      <c r="F123" s="219" t="s">
        <v>164</v>
      </c>
      <c r="G123" s="218">
        <f>IF(MONTH(L5)&lt;9,YEAR(L5),YEAR(L5)+1)</f>
        <v>2027</v>
      </c>
      <c r="H123" s="218"/>
      <c r="I123" s="219" t="s">
        <v>165</v>
      </c>
      <c r="J123" s="219" t="s">
        <v>166</v>
      </c>
      <c r="K123" s="219" t="s">
        <v>167</v>
      </c>
      <c r="L123" s="23"/>
      <c r="M123" s="23"/>
      <c r="N123" s="117"/>
    </row>
    <row r="124" spans="1:15" ht="13.5" hidden="1" customHeight="1" x14ac:dyDescent="0.2">
      <c r="A124" s="221"/>
      <c r="B124" s="218"/>
      <c r="C124" s="218"/>
      <c r="D124" s="218"/>
      <c r="E124" s="218"/>
      <c r="F124" s="218"/>
      <c r="G124" s="218"/>
      <c r="H124" s="218"/>
      <c r="I124" s="218">
        <v>2018</v>
      </c>
      <c r="J124" s="218">
        <v>0.47</v>
      </c>
      <c r="K124" s="220">
        <f>DATE(I124,8,31)</f>
        <v>43343</v>
      </c>
      <c r="L124" s="23"/>
      <c r="M124" s="23"/>
      <c r="N124" s="117"/>
    </row>
    <row r="125" spans="1:15" ht="13.5" hidden="1" customHeight="1" x14ac:dyDescent="0.2">
      <c r="A125" s="221"/>
      <c r="B125" s="218"/>
      <c r="C125" s="218"/>
      <c r="D125" s="218"/>
      <c r="E125" s="218"/>
      <c r="F125" s="218"/>
      <c r="G125" s="218"/>
      <c r="H125" s="218"/>
      <c r="I125" s="218">
        <v>2019</v>
      </c>
      <c r="J125" s="218">
        <v>0.49</v>
      </c>
      <c r="K125" s="220">
        <f t="shared" ref="K125:K142" si="11">DATE(I125,8,31)</f>
        <v>43708</v>
      </c>
      <c r="L125" s="23"/>
      <c r="M125" s="23"/>
      <c r="N125" s="117"/>
    </row>
    <row r="126" spans="1:15" ht="13.5" hidden="1" customHeight="1" x14ac:dyDescent="0.2">
      <c r="A126" s="221"/>
      <c r="B126" s="218"/>
      <c r="C126" s="218"/>
      <c r="D126" s="218"/>
      <c r="E126" s="218"/>
      <c r="F126" s="218"/>
      <c r="G126" s="218"/>
      <c r="H126" s="218"/>
      <c r="I126" s="218">
        <v>2020</v>
      </c>
      <c r="J126" s="218">
        <v>0.495</v>
      </c>
      <c r="K126" s="220">
        <f t="shared" si="11"/>
        <v>44074</v>
      </c>
      <c r="L126" s="23"/>
      <c r="M126" s="23"/>
      <c r="N126" s="117"/>
    </row>
    <row r="127" spans="1:15" ht="13.5" hidden="1" customHeight="1" x14ac:dyDescent="0.2">
      <c r="A127" s="221"/>
      <c r="B127" s="218"/>
      <c r="C127" s="218"/>
      <c r="D127" s="218"/>
      <c r="E127" s="218"/>
      <c r="F127" s="218"/>
      <c r="G127" s="218"/>
      <c r="H127" s="218"/>
      <c r="I127" s="218">
        <v>2021</v>
      </c>
      <c r="J127" s="218">
        <v>0.5</v>
      </c>
      <c r="K127" s="220">
        <f t="shared" si="11"/>
        <v>44439</v>
      </c>
      <c r="L127" s="23"/>
      <c r="M127" s="23"/>
      <c r="N127" s="117"/>
    </row>
    <row r="128" spans="1:15" ht="13.5" hidden="1" customHeight="1" x14ac:dyDescent="0.2">
      <c r="A128" s="221"/>
      <c r="B128" s="218"/>
      <c r="C128" s="218"/>
      <c r="D128" s="218"/>
      <c r="E128" s="218"/>
      <c r="F128" s="218"/>
      <c r="G128" s="218"/>
      <c r="H128" s="218"/>
      <c r="I128" s="218">
        <v>2022</v>
      </c>
      <c r="J128" s="218">
        <v>0.5</v>
      </c>
      <c r="K128" s="220">
        <f t="shared" si="11"/>
        <v>44804</v>
      </c>
      <c r="L128" s="23"/>
      <c r="M128" s="23"/>
      <c r="N128" s="117"/>
    </row>
    <row r="129" spans="1:17" ht="13.5" hidden="1" customHeight="1" x14ac:dyDescent="0.2">
      <c r="A129" s="221"/>
      <c r="B129" s="218"/>
      <c r="C129" s="218"/>
      <c r="D129" s="218"/>
      <c r="E129" s="218"/>
      <c r="F129" s="218"/>
      <c r="G129" s="218"/>
      <c r="H129" s="218"/>
      <c r="I129" s="218">
        <v>2023</v>
      </c>
      <c r="J129" s="218">
        <v>0.5</v>
      </c>
      <c r="K129" s="220">
        <f t="shared" si="11"/>
        <v>45169</v>
      </c>
      <c r="L129" s="23"/>
      <c r="M129" s="23"/>
      <c r="N129" s="117"/>
    </row>
    <row r="130" spans="1:17" ht="13.5" hidden="1" customHeight="1" x14ac:dyDescent="0.2">
      <c r="A130" s="221"/>
      <c r="B130" s="218"/>
      <c r="C130" s="218"/>
      <c r="D130" s="218"/>
      <c r="E130" s="218"/>
      <c r="F130" s="218"/>
      <c r="G130" s="218"/>
      <c r="H130" s="218"/>
      <c r="I130" s="218">
        <v>2024</v>
      </c>
      <c r="J130" s="218">
        <v>0.5</v>
      </c>
      <c r="K130" s="220">
        <f t="shared" si="11"/>
        <v>45535</v>
      </c>
      <c r="L130" s="23"/>
      <c r="M130" s="23"/>
      <c r="N130" s="117"/>
    </row>
    <row r="131" spans="1:17" ht="13.5" hidden="1" customHeight="1" x14ac:dyDescent="0.2">
      <c r="A131" s="221"/>
      <c r="B131" s="218"/>
      <c r="C131" s="218"/>
      <c r="D131" s="218"/>
      <c r="E131" s="218"/>
      <c r="F131" s="218"/>
      <c r="G131" s="218"/>
      <c r="H131" s="218"/>
      <c r="I131" s="218">
        <v>2025</v>
      </c>
      <c r="J131" s="218">
        <v>0.5</v>
      </c>
      <c r="K131" s="220">
        <f t="shared" si="11"/>
        <v>45900</v>
      </c>
      <c r="L131" s="23"/>
      <c r="M131" s="23"/>
      <c r="N131" s="117"/>
    </row>
    <row r="132" spans="1:17" ht="18" hidden="1" customHeight="1" x14ac:dyDescent="0.2">
      <c r="A132" s="218"/>
      <c r="B132" s="218"/>
      <c r="C132" s="218"/>
      <c r="D132" s="218"/>
      <c r="E132" s="218"/>
      <c r="F132" s="218"/>
      <c r="G132" s="218"/>
      <c r="H132" s="218"/>
      <c r="I132" s="218">
        <v>2026</v>
      </c>
      <c r="J132" s="218">
        <v>0.5</v>
      </c>
      <c r="K132" s="220">
        <f t="shared" si="11"/>
        <v>46265</v>
      </c>
      <c r="L132" s="124"/>
      <c r="M132" s="124"/>
      <c r="N132" s="124"/>
      <c r="O132" s="124"/>
      <c r="P132" s="31"/>
    </row>
    <row r="133" spans="1:17" ht="18" hidden="1" customHeight="1" x14ac:dyDescent="0.2">
      <c r="A133" s="218"/>
      <c r="B133" s="218"/>
      <c r="C133" s="218"/>
      <c r="D133" s="218"/>
      <c r="E133" s="218"/>
      <c r="F133" s="218"/>
      <c r="G133" s="218"/>
      <c r="H133" s="218"/>
      <c r="I133" s="218">
        <v>2027</v>
      </c>
      <c r="J133" s="218">
        <v>0.5</v>
      </c>
      <c r="K133" s="220">
        <f t="shared" si="11"/>
        <v>46630</v>
      </c>
      <c r="L133" s="124"/>
      <c r="M133" s="124"/>
      <c r="N133" s="124"/>
      <c r="O133" s="124"/>
      <c r="P133" s="31"/>
    </row>
    <row r="134" spans="1:17" ht="18" hidden="1" customHeight="1" x14ac:dyDescent="0.2">
      <c r="A134" s="218"/>
      <c r="B134" s="218"/>
      <c r="C134" s="218"/>
      <c r="D134" s="218"/>
      <c r="E134" s="218"/>
      <c r="F134" s="218"/>
      <c r="G134" s="218"/>
      <c r="H134" s="218"/>
      <c r="I134" s="218">
        <v>2028</v>
      </c>
      <c r="J134" s="218">
        <v>0.5</v>
      </c>
      <c r="K134" s="220">
        <f t="shared" si="11"/>
        <v>46996</v>
      </c>
      <c r="L134" s="124"/>
      <c r="M134" s="124"/>
      <c r="N134" s="124"/>
      <c r="O134" s="124"/>
      <c r="P134" s="31"/>
    </row>
    <row r="135" spans="1:17" ht="18" hidden="1" customHeight="1" x14ac:dyDescent="0.2">
      <c r="A135" s="218"/>
      <c r="B135" s="218"/>
      <c r="C135" s="218"/>
      <c r="D135" s="218"/>
      <c r="E135" s="218"/>
      <c r="F135" s="218"/>
      <c r="G135" s="218"/>
      <c r="H135" s="218"/>
      <c r="I135" s="218">
        <v>2029</v>
      </c>
      <c r="J135" s="218">
        <v>0.5</v>
      </c>
      <c r="K135" s="220">
        <f t="shared" si="11"/>
        <v>47361</v>
      </c>
      <c r="L135" s="124"/>
      <c r="M135" s="124"/>
      <c r="N135" s="124"/>
      <c r="O135" s="124"/>
      <c r="P135" s="31"/>
    </row>
    <row r="136" spans="1:17" ht="18" hidden="1" customHeight="1" x14ac:dyDescent="0.2">
      <c r="A136" s="218"/>
      <c r="B136" s="218"/>
      <c r="C136" s="218"/>
      <c r="D136" s="218"/>
      <c r="E136" s="218"/>
      <c r="F136" s="218"/>
      <c r="G136" s="218"/>
      <c r="H136" s="218"/>
      <c r="I136" s="218">
        <v>2030</v>
      </c>
      <c r="J136" s="218">
        <v>0.5</v>
      </c>
      <c r="K136" s="220">
        <f t="shared" si="11"/>
        <v>47726</v>
      </c>
      <c r="L136" s="124"/>
      <c r="M136" s="124"/>
      <c r="N136" s="124"/>
      <c r="O136" s="124"/>
      <c r="P136" s="31"/>
    </row>
    <row r="137" spans="1:17" ht="18" hidden="1" customHeight="1" x14ac:dyDescent="0.2">
      <c r="A137" s="218"/>
      <c r="B137" s="218"/>
      <c r="C137" s="218"/>
      <c r="D137" s="218"/>
      <c r="E137" s="218"/>
      <c r="F137" s="218"/>
      <c r="G137" s="218"/>
      <c r="H137" s="218"/>
      <c r="I137" s="218">
        <v>2031</v>
      </c>
      <c r="J137" s="218">
        <v>0.5</v>
      </c>
      <c r="K137" s="220">
        <f t="shared" si="11"/>
        <v>48091</v>
      </c>
      <c r="L137" s="124"/>
      <c r="M137" s="124"/>
      <c r="N137" s="124"/>
      <c r="O137" s="124"/>
      <c r="P137" s="31"/>
    </row>
    <row r="138" spans="1:17" ht="18" hidden="1" customHeight="1" x14ac:dyDescent="0.2">
      <c r="A138" s="218"/>
      <c r="B138" s="218"/>
      <c r="C138" s="218"/>
      <c r="D138" s="218"/>
      <c r="E138" s="218"/>
      <c r="F138" s="218"/>
      <c r="G138" s="218"/>
      <c r="H138" s="218"/>
      <c r="I138" s="218">
        <v>2032</v>
      </c>
      <c r="J138" s="218">
        <v>0.5</v>
      </c>
      <c r="K138" s="220">
        <f t="shared" si="11"/>
        <v>48457</v>
      </c>
      <c r="L138" s="124"/>
      <c r="M138" s="124"/>
      <c r="N138" s="124"/>
      <c r="O138" s="124"/>
      <c r="P138" s="31"/>
    </row>
    <row r="139" spans="1:17" ht="18" hidden="1" customHeight="1" x14ac:dyDescent="0.2">
      <c r="A139" s="218"/>
      <c r="B139" s="218"/>
      <c r="C139" s="218"/>
      <c r="D139" s="218"/>
      <c r="E139" s="218"/>
      <c r="F139" s="218"/>
      <c r="G139" s="218"/>
      <c r="H139" s="218"/>
      <c r="I139" s="218">
        <v>2033</v>
      </c>
      <c r="J139" s="218">
        <v>0.5</v>
      </c>
      <c r="K139" s="220">
        <f t="shared" si="11"/>
        <v>48822</v>
      </c>
      <c r="L139" s="124"/>
      <c r="M139" s="124"/>
      <c r="N139" s="124"/>
      <c r="O139" s="124"/>
      <c r="P139" s="31"/>
    </row>
    <row r="140" spans="1:17" ht="18" hidden="1" customHeight="1" x14ac:dyDescent="0.2">
      <c r="A140" s="218"/>
      <c r="B140" s="218"/>
      <c r="C140" s="218"/>
      <c r="D140" s="218"/>
      <c r="E140" s="218"/>
      <c r="F140" s="218"/>
      <c r="G140" s="218"/>
      <c r="H140" s="218"/>
      <c r="I140" s="218">
        <v>2034</v>
      </c>
      <c r="J140" s="218">
        <v>0.5</v>
      </c>
      <c r="K140" s="220">
        <f t="shared" si="11"/>
        <v>49187</v>
      </c>
      <c r="L140" s="124"/>
      <c r="M140" s="124"/>
      <c r="N140" s="124"/>
      <c r="O140" s="124"/>
      <c r="P140" s="31"/>
    </row>
    <row r="141" spans="1:17" ht="18" hidden="1" customHeight="1" x14ac:dyDescent="0.2">
      <c r="A141" s="218"/>
      <c r="B141" s="218"/>
      <c r="C141" s="218"/>
      <c r="D141" s="218"/>
      <c r="E141" s="218"/>
      <c r="F141" s="218"/>
      <c r="G141" s="218"/>
      <c r="H141" s="218"/>
      <c r="I141" s="218">
        <v>2035</v>
      </c>
      <c r="J141" s="218">
        <v>0.5</v>
      </c>
      <c r="K141" s="220">
        <f t="shared" si="11"/>
        <v>49552</v>
      </c>
      <c r="L141" s="124"/>
      <c r="M141" s="124"/>
      <c r="N141" s="124"/>
      <c r="O141" s="124"/>
      <c r="P141" s="31"/>
    </row>
    <row r="142" spans="1:17" ht="18" hidden="1" customHeight="1" x14ac:dyDescent="0.2">
      <c r="A142" s="218"/>
      <c r="B142" s="218"/>
      <c r="C142" s="218"/>
      <c r="D142" s="218"/>
      <c r="E142" s="218"/>
      <c r="F142" s="218"/>
      <c r="G142" s="218"/>
      <c r="H142" s="218"/>
      <c r="I142" s="218">
        <v>2036</v>
      </c>
      <c r="J142" s="218">
        <v>0.5</v>
      </c>
      <c r="K142" s="220">
        <f t="shared" si="11"/>
        <v>49918</v>
      </c>
      <c r="L142" s="124"/>
      <c r="M142" s="124"/>
      <c r="N142" s="124"/>
      <c r="O142" s="124"/>
      <c r="P142" s="31"/>
    </row>
    <row r="143" spans="1:17" ht="18" customHeight="1" thickBot="1" x14ac:dyDescent="0.25">
      <c r="A143" s="544"/>
      <c r="B143" s="544"/>
      <c r="C143" s="544"/>
      <c r="D143" s="544"/>
      <c r="E143" s="544"/>
      <c r="F143" s="544"/>
      <c r="G143" s="544"/>
      <c r="H143" s="544"/>
      <c r="I143" s="544"/>
      <c r="J143" s="544"/>
      <c r="K143" s="544"/>
      <c r="L143" s="544"/>
      <c r="M143" s="544"/>
      <c r="N143" s="544"/>
      <c r="O143" s="544"/>
      <c r="P143" s="31"/>
    </row>
    <row r="144" spans="1:17" ht="13.5" customHeight="1" x14ac:dyDescent="0.2">
      <c r="A144" s="414" t="s">
        <v>168</v>
      </c>
      <c r="B144" s="534" t="s">
        <v>169</v>
      </c>
      <c r="C144" s="535"/>
      <c r="D144" s="535"/>
      <c r="E144" s="535"/>
      <c r="F144" s="536"/>
      <c r="G144" s="427" t="s">
        <v>170</v>
      </c>
      <c r="H144" s="428"/>
      <c r="I144" s="428"/>
      <c r="J144" s="428"/>
      <c r="K144" s="429"/>
      <c r="L144" s="464" t="s">
        <v>171</v>
      </c>
      <c r="M144" s="465"/>
      <c r="N144" s="466"/>
      <c r="O144" s="337">
        <f>O155-H121</f>
        <v>0</v>
      </c>
      <c r="P144" s="150"/>
      <c r="Q144" s="1" t="s">
        <v>172</v>
      </c>
    </row>
    <row r="145" spans="1:17" ht="13.5" customHeight="1" x14ac:dyDescent="0.2">
      <c r="A145" s="415"/>
      <c r="B145" s="537"/>
      <c r="C145" s="538"/>
      <c r="D145" s="538"/>
      <c r="E145" s="538"/>
      <c r="F145" s="539"/>
      <c r="G145" s="430"/>
      <c r="H145" s="431"/>
      <c r="I145" s="431"/>
      <c r="J145" s="431"/>
      <c r="K145" s="432"/>
      <c r="L145" s="476" t="s">
        <v>173</v>
      </c>
      <c r="M145" s="477"/>
      <c r="N145" s="478"/>
      <c r="O145" s="338">
        <f>H121</f>
        <v>0</v>
      </c>
      <c r="P145" s="150"/>
    </row>
    <row r="146" spans="1:17" ht="13.5" customHeight="1" x14ac:dyDescent="0.2">
      <c r="A146" s="415"/>
      <c r="B146" s="369" t="s">
        <v>174</v>
      </c>
      <c r="C146" s="370"/>
      <c r="D146" s="370"/>
      <c r="E146" s="370"/>
      <c r="F146" s="371"/>
      <c r="G146" s="430"/>
      <c r="H146" s="431"/>
      <c r="I146" s="431"/>
      <c r="J146" s="431"/>
      <c r="K146" s="432"/>
      <c r="L146" s="376" t="s">
        <v>175</v>
      </c>
      <c r="M146" s="377"/>
      <c r="N146" s="378"/>
      <c r="O146" s="339">
        <f>O155-O87-O83-O92-O99+K121</f>
        <v>0</v>
      </c>
      <c r="P146" s="150"/>
      <c r="Q146" s="225" t="s">
        <v>176</v>
      </c>
    </row>
    <row r="147" spans="1:17" ht="13.5" customHeight="1" x14ac:dyDescent="0.3">
      <c r="A147" s="415"/>
      <c r="B147" s="226"/>
      <c r="C147" s="118" t="s">
        <v>177</v>
      </c>
      <c r="D147" s="118"/>
      <c r="E147" s="118"/>
      <c r="F147" s="227">
        <v>0.5</v>
      </c>
      <c r="G147" s="430"/>
      <c r="H147" s="431"/>
      <c r="I147" s="431"/>
      <c r="J147" s="431"/>
      <c r="K147" s="432"/>
      <c r="L147" s="153" t="s">
        <v>178</v>
      </c>
      <c r="M147" s="113">
        <f>VLOOKUP($G$123,$I$124:$J$142,2,FALSE)</f>
        <v>0.5</v>
      </c>
      <c r="N147" s="250" t="s">
        <v>179</v>
      </c>
      <c r="O147" s="340">
        <f>IF($L$7-VLOOKUP($G$123,$I$124:$K$142,3,FALSE)&lt;0,$O$146,ROUND((1-($L$7-VLOOKUP($G$123,$I$124:$K$142,3,FALSE))/($L$7+1-$L$5))*$O$146,0))</f>
        <v>0</v>
      </c>
      <c r="P147" s="33"/>
      <c r="Q147" s="108"/>
    </row>
    <row r="148" spans="1:17" ht="13.5" customHeight="1" x14ac:dyDescent="0.3">
      <c r="A148" s="415"/>
      <c r="B148" s="226"/>
      <c r="C148" s="118" t="s">
        <v>180</v>
      </c>
      <c r="D148" s="118"/>
      <c r="E148" s="118"/>
      <c r="F148" s="227">
        <v>0.5</v>
      </c>
      <c r="G148" s="430"/>
      <c r="H148" s="431"/>
      <c r="I148" s="431"/>
      <c r="J148" s="431"/>
      <c r="K148" s="432"/>
      <c r="L148" s="154" t="s">
        <v>181</v>
      </c>
      <c r="M148" s="113">
        <f>VLOOKUP($G$123+1,$I$124:$J$142,2,FALSE)</f>
        <v>0.5</v>
      </c>
      <c r="N148" s="250" t="s">
        <v>182</v>
      </c>
      <c r="O148" s="340">
        <f>O146-O147</f>
        <v>0</v>
      </c>
      <c r="P148" s="33"/>
    </row>
    <row r="149" spans="1:17" ht="13.5" customHeight="1" x14ac:dyDescent="0.2">
      <c r="A149" s="415"/>
      <c r="B149" s="226"/>
      <c r="C149" s="118" t="s">
        <v>183</v>
      </c>
      <c r="D149" s="118"/>
      <c r="E149" s="118"/>
      <c r="F149" s="227">
        <v>0.36</v>
      </c>
      <c r="G149" s="430"/>
      <c r="H149" s="431"/>
      <c r="I149" s="431"/>
      <c r="J149" s="431"/>
      <c r="K149" s="432"/>
      <c r="L149" s="528" t="s">
        <v>184</v>
      </c>
      <c r="M149" s="529"/>
      <c r="N149" s="530"/>
      <c r="O149" s="341">
        <f>ROUND(M147*O147,0)</f>
        <v>0</v>
      </c>
      <c r="P149" s="155"/>
    </row>
    <row r="150" spans="1:17" ht="13.5" customHeight="1" x14ac:dyDescent="0.2">
      <c r="A150" s="415"/>
      <c r="B150" s="228"/>
      <c r="C150" s="229"/>
      <c r="D150" s="229"/>
      <c r="E150" s="229"/>
      <c r="F150" s="230"/>
      <c r="G150" s="433"/>
      <c r="H150" s="434"/>
      <c r="I150" s="434"/>
      <c r="J150" s="434"/>
      <c r="K150" s="435"/>
      <c r="L150" s="554" t="s">
        <v>185</v>
      </c>
      <c r="M150" s="555"/>
      <c r="N150" s="556"/>
      <c r="O150" s="342">
        <f>ROUND(M148*O148,0)</f>
        <v>0</v>
      </c>
      <c r="P150" s="155"/>
    </row>
    <row r="151" spans="1:17" ht="13.5" customHeight="1" x14ac:dyDescent="0.2">
      <c r="A151" s="415"/>
      <c r="B151" s="369" t="s">
        <v>186</v>
      </c>
      <c r="C151" s="370"/>
      <c r="D151" s="370"/>
      <c r="E151" s="370"/>
      <c r="F151" s="371"/>
      <c r="G151" s="545" t="s">
        <v>187</v>
      </c>
      <c r="H151" s="546"/>
      <c r="I151" s="546"/>
      <c r="J151" s="546"/>
      <c r="K151" s="546"/>
      <c r="L151" s="546"/>
      <c r="M151" s="546"/>
      <c r="N151" s="546"/>
      <c r="O151" s="547"/>
      <c r="P151" s="155"/>
    </row>
    <row r="152" spans="1:17" ht="13.5" customHeight="1" x14ac:dyDescent="0.2">
      <c r="A152" s="415"/>
      <c r="B152" s="226"/>
      <c r="C152" s="118" t="s">
        <v>188</v>
      </c>
      <c r="D152" s="118"/>
      <c r="E152" s="118"/>
      <c r="F152" s="227">
        <v>0.26</v>
      </c>
      <c r="G152" s="548"/>
      <c r="H152" s="549"/>
      <c r="I152" s="549"/>
      <c r="J152" s="549"/>
      <c r="K152" s="549"/>
      <c r="L152" s="549"/>
      <c r="M152" s="549"/>
      <c r="N152" s="549"/>
      <c r="O152" s="550"/>
      <c r="P152" s="155"/>
    </row>
    <row r="153" spans="1:17" ht="14.25" customHeight="1" thickBot="1" x14ac:dyDescent="0.25">
      <c r="A153" s="416"/>
      <c r="B153" s="226"/>
      <c r="C153" s="118"/>
      <c r="D153" s="118"/>
      <c r="E153" s="118"/>
      <c r="F153" s="227"/>
      <c r="G153" s="551"/>
      <c r="H153" s="552"/>
      <c r="I153" s="552"/>
      <c r="J153" s="552"/>
      <c r="K153" s="552"/>
      <c r="L153" s="552"/>
      <c r="M153" s="552"/>
      <c r="N153" s="552"/>
      <c r="O153" s="553"/>
      <c r="P153" s="155"/>
    </row>
    <row r="154" spans="1:17" ht="18" customHeight="1" thickBot="1" x14ac:dyDescent="0.25">
      <c r="A154" s="417"/>
      <c r="B154" s="417"/>
      <c r="C154" s="417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31"/>
    </row>
    <row r="155" spans="1:17" ht="17.100000000000001" customHeight="1" x14ac:dyDescent="0.25">
      <c r="A155" s="398" t="s">
        <v>189</v>
      </c>
      <c r="B155" s="399"/>
      <c r="C155" s="404" t="s">
        <v>190</v>
      </c>
      <c r="D155" s="405"/>
      <c r="E155" s="405"/>
      <c r="F155" s="410"/>
      <c r="G155" s="411"/>
      <c r="H155" s="17"/>
      <c r="I155" s="414" t="s">
        <v>191</v>
      </c>
      <c r="J155" s="438" t="str">
        <f>K3</f>
        <v>Period 3</v>
      </c>
      <c r="K155" s="453" t="s">
        <v>192</v>
      </c>
      <c r="L155" s="454"/>
      <c r="M155" s="454"/>
      <c r="N155" s="455"/>
      <c r="O155" s="343">
        <f>O37+O83+O66+O87+O69+O99+O92</f>
        <v>0</v>
      </c>
      <c r="P155" s="156"/>
    </row>
    <row r="156" spans="1:17" ht="17.100000000000001" customHeight="1" x14ac:dyDescent="0.25">
      <c r="A156" s="400"/>
      <c r="B156" s="401"/>
      <c r="C156" s="407"/>
      <c r="D156" s="408"/>
      <c r="E156" s="408"/>
      <c r="F156" s="412"/>
      <c r="G156" s="413"/>
      <c r="H156" s="17"/>
      <c r="I156" s="415"/>
      <c r="J156" s="439"/>
      <c r="K156" s="444" t="s">
        <v>193</v>
      </c>
      <c r="L156" s="445"/>
      <c r="M156" s="445"/>
      <c r="N156" s="446"/>
      <c r="O156" s="344">
        <f>O149+O150</f>
        <v>0</v>
      </c>
      <c r="P156" s="156"/>
      <c r="Q156" s="23"/>
    </row>
    <row r="157" spans="1:17" ht="17.100000000000001" customHeight="1" thickBot="1" x14ac:dyDescent="0.3">
      <c r="A157" s="402"/>
      <c r="B157" s="403"/>
      <c r="C157" s="441" t="s">
        <v>194</v>
      </c>
      <c r="D157" s="442"/>
      <c r="E157" s="443"/>
      <c r="F157" s="394" t="str">
        <f>IF(O158&lt;&gt;0,F155/O158,"-")</f>
        <v>-</v>
      </c>
      <c r="G157" s="395"/>
      <c r="H157" s="17"/>
      <c r="I157" s="415"/>
      <c r="J157" s="439"/>
      <c r="K157" s="447" t="s">
        <v>195</v>
      </c>
      <c r="L157" s="448"/>
      <c r="M157" s="448"/>
      <c r="N157" s="449"/>
      <c r="O157" s="345">
        <f>O155+O156</f>
        <v>0</v>
      </c>
      <c r="P157" s="156"/>
    </row>
    <row r="158" spans="1:17" ht="17.100000000000001" customHeight="1" thickBot="1" x14ac:dyDescent="0.3">
      <c r="A158" s="396"/>
      <c r="B158" s="396"/>
      <c r="C158" s="396"/>
      <c r="D158" s="396"/>
      <c r="E158" s="396"/>
      <c r="F158" s="396"/>
      <c r="G158" s="396"/>
      <c r="H158" s="397"/>
      <c r="I158" s="416"/>
      <c r="J158" s="440"/>
      <c r="K158" s="450" t="s">
        <v>196</v>
      </c>
      <c r="L158" s="451"/>
      <c r="M158" s="451"/>
      <c r="N158" s="452"/>
      <c r="O158" s="346">
        <f>O157+F155</f>
        <v>0</v>
      </c>
      <c r="P158" s="156"/>
    </row>
  </sheetData>
  <sheetProtection algorithmName="SHA-512" hashValue="CIenb7p6FDbt9Zo/3VDbOu+UNu7XuVF+E2tDePkjcwEy8HPm3WYTFwyBAzyoIbIC6mFl8gcG/OLpjF0XhLkXfw==" saltValue="xGZa8H5Xdn3NsOybHGgrcw==" spinCount="100000" sheet="1" formatRows="0" insertRows="0"/>
  <mergeCells count="224">
    <mergeCell ref="A5:C6"/>
    <mergeCell ref="D5:F6"/>
    <mergeCell ref="K5:K6"/>
    <mergeCell ref="L5:L6"/>
    <mergeCell ref="A7:C10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D7:J10"/>
    <mergeCell ref="A36:O36"/>
    <mergeCell ref="A37:A81"/>
    <mergeCell ref="B38:C38"/>
    <mergeCell ref="G38:H38"/>
    <mergeCell ref="B39:C39"/>
    <mergeCell ref="G39:H39"/>
    <mergeCell ref="B40:C40"/>
    <mergeCell ref="G40:H40"/>
    <mergeCell ref="B41:C41"/>
    <mergeCell ref="B45:C45"/>
    <mergeCell ref="G45:H45"/>
    <mergeCell ref="B46:C46"/>
    <mergeCell ref="G46:H46"/>
    <mergeCell ref="B47:C47"/>
    <mergeCell ref="G47:H47"/>
    <mergeCell ref="G41:H41"/>
    <mergeCell ref="B42:C42"/>
    <mergeCell ref="G42:H42"/>
    <mergeCell ref="B43:C43"/>
    <mergeCell ref="G43:H43"/>
    <mergeCell ref="B44:C44"/>
    <mergeCell ref="G44:H44"/>
    <mergeCell ref="B51:C51"/>
    <mergeCell ref="G51:H51"/>
    <mergeCell ref="B52:C52"/>
    <mergeCell ref="G52:H52"/>
    <mergeCell ref="B53:C53"/>
    <mergeCell ref="G53:H53"/>
    <mergeCell ref="B48:C48"/>
    <mergeCell ref="G48:H48"/>
    <mergeCell ref="B49:C49"/>
    <mergeCell ref="G49:H49"/>
    <mergeCell ref="B50:C50"/>
    <mergeCell ref="G50:H50"/>
    <mergeCell ref="B57:C57"/>
    <mergeCell ref="G57:H57"/>
    <mergeCell ref="B58:C58"/>
    <mergeCell ref="G58:H58"/>
    <mergeCell ref="B59:C59"/>
    <mergeCell ref="G59:H59"/>
    <mergeCell ref="B54:C54"/>
    <mergeCell ref="G54:H54"/>
    <mergeCell ref="B55:C55"/>
    <mergeCell ref="G55:H55"/>
    <mergeCell ref="B56:C56"/>
    <mergeCell ref="G56:H56"/>
    <mergeCell ref="B63:C63"/>
    <mergeCell ref="G63:H63"/>
    <mergeCell ref="B64:C64"/>
    <mergeCell ref="G64:H64"/>
    <mergeCell ref="B65:C65"/>
    <mergeCell ref="G65:H65"/>
    <mergeCell ref="B60:C60"/>
    <mergeCell ref="G60:H60"/>
    <mergeCell ref="B61:C61"/>
    <mergeCell ref="G61:H61"/>
    <mergeCell ref="B62:C62"/>
    <mergeCell ref="G62:H62"/>
    <mergeCell ref="B70:N70"/>
    <mergeCell ref="B78:N78"/>
    <mergeCell ref="B79:N79"/>
    <mergeCell ref="B66:M66"/>
    <mergeCell ref="B67:N67"/>
    <mergeCell ref="B68:N68"/>
    <mergeCell ref="B69:M69"/>
    <mergeCell ref="B71:M71"/>
    <mergeCell ref="B72:M72"/>
    <mergeCell ref="B73:M73"/>
    <mergeCell ref="B74:M74"/>
    <mergeCell ref="B75:M75"/>
    <mergeCell ref="B76:M76"/>
    <mergeCell ref="B77:N77"/>
    <mergeCell ref="B89:N89"/>
    <mergeCell ref="B90:N90"/>
    <mergeCell ref="B91:N91"/>
    <mergeCell ref="B92:M92"/>
    <mergeCell ref="B93:N93"/>
    <mergeCell ref="B94:N94"/>
    <mergeCell ref="B80:N80"/>
    <mergeCell ref="B81:N81"/>
    <mergeCell ref="A82:O82"/>
    <mergeCell ref="A83:A97"/>
    <mergeCell ref="B83:M83"/>
    <mergeCell ref="B84:N84"/>
    <mergeCell ref="B85:N85"/>
    <mergeCell ref="B86:N86"/>
    <mergeCell ref="B87:M87"/>
    <mergeCell ref="B88:N88"/>
    <mergeCell ref="B95:N95"/>
    <mergeCell ref="B96:N96"/>
    <mergeCell ref="B97:N97"/>
    <mergeCell ref="A99:A121"/>
    <mergeCell ref="B99:M99"/>
    <mergeCell ref="B100:B121"/>
    <mergeCell ref="C103:E103"/>
    <mergeCell ref="F103:G103"/>
    <mergeCell ref="H103:I103"/>
    <mergeCell ref="N103:O103"/>
    <mergeCell ref="C104:E104"/>
    <mergeCell ref="F104:G104"/>
    <mergeCell ref="H104:I104"/>
    <mergeCell ref="N104:O104"/>
    <mergeCell ref="C101:E101"/>
    <mergeCell ref="F101:G101"/>
    <mergeCell ref="H101:I101"/>
    <mergeCell ref="N101:O101"/>
    <mergeCell ref="C102:E102"/>
    <mergeCell ref="F102:G102"/>
    <mergeCell ref="H102:I102"/>
    <mergeCell ref="N102:O102"/>
    <mergeCell ref="C107:E107"/>
    <mergeCell ref="C105:E105"/>
    <mergeCell ref="F105:G105"/>
    <mergeCell ref="H105:I105"/>
    <mergeCell ref="N105:O105"/>
    <mergeCell ref="C106:E106"/>
    <mergeCell ref="F106:G106"/>
    <mergeCell ref="H106:I106"/>
    <mergeCell ref="N106:O106"/>
    <mergeCell ref="B98:O98"/>
    <mergeCell ref="C109:E109"/>
    <mergeCell ref="F109:G109"/>
    <mergeCell ref="H109:I109"/>
    <mergeCell ref="N109:O109"/>
    <mergeCell ref="F100:G100"/>
    <mergeCell ref="H100:I100"/>
    <mergeCell ref="N100:O100"/>
    <mergeCell ref="C110:E110"/>
    <mergeCell ref="F110:G110"/>
    <mergeCell ref="H110:I110"/>
    <mergeCell ref="N110:O110"/>
    <mergeCell ref="F107:G107"/>
    <mergeCell ref="H107:I107"/>
    <mergeCell ref="N107:O107"/>
    <mergeCell ref="C108:E108"/>
    <mergeCell ref="F108:G108"/>
    <mergeCell ref="H108:I108"/>
    <mergeCell ref="N108:O108"/>
    <mergeCell ref="C113:E113"/>
    <mergeCell ref="F113:G113"/>
    <mergeCell ref="H113:I113"/>
    <mergeCell ref="N113:O113"/>
    <mergeCell ref="C114:E114"/>
    <mergeCell ref="F114:G114"/>
    <mergeCell ref="H114:I114"/>
    <mergeCell ref="N114:O114"/>
    <mergeCell ref="C111:E111"/>
    <mergeCell ref="F111:G111"/>
    <mergeCell ref="H111:I111"/>
    <mergeCell ref="N111:O111"/>
    <mergeCell ref="C112:E112"/>
    <mergeCell ref="F112:G112"/>
    <mergeCell ref="H112:I112"/>
    <mergeCell ref="N112:O112"/>
    <mergeCell ref="C117:E117"/>
    <mergeCell ref="F117:G117"/>
    <mergeCell ref="H117:I117"/>
    <mergeCell ref="N117:O117"/>
    <mergeCell ref="C118:E118"/>
    <mergeCell ref="F118:G118"/>
    <mergeCell ref="H118:I118"/>
    <mergeCell ref="N118:O118"/>
    <mergeCell ref="C115:E115"/>
    <mergeCell ref="F115:G115"/>
    <mergeCell ref="H115:I115"/>
    <mergeCell ref="N115:O115"/>
    <mergeCell ref="C116:E116"/>
    <mergeCell ref="F116:G116"/>
    <mergeCell ref="H116:I116"/>
    <mergeCell ref="N116:O116"/>
    <mergeCell ref="L145:N145"/>
    <mergeCell ref="G144:K150"/>
    <mergeCell ref="L149:N149"/>
    <mergeCell ref="L150:N150"/>
    <mergeCell ref="G151:O153"/>
    <mergeCell ref="C119:E119"/>
    <mergeCell ref="F119:G119"/>
    <mergeCell ref="H119:I119"/>
    <mergeCell ref="N119:O119"/>
    <mergeCell ref="C120:E120"/>
    <mergeCell ref="F120:G120"/>
    <mergeCell ref="H120:I120"/>
    <mergeCell ref="N120:O120"/>
    <mergeCell ref="B146:F146"/>
    <mergeCell ref="B151:F151"/>
    <mergeCell ref="B37:J37"/>
    <mergeCell ref="K37:L37"/>
    <mergeCell ref="K155:N155"/>
    <mergeCell ref="K156:N156"/>
    <mergeCell ref="C157:E157"/>
    <mergeCell ref="F157:G157"/>
    <mergeCell ref="K157:N157"/>
    <mergeCell ref="A158:H158"/>
    <mergeCell ref="K158:N158"/>
    <mergeCell ref="A154:O154"/>
    <mergeCell ref="A155:B157"/>
    <mergeCell ref="C155:E156"/>
    <mergeCell ref="F155:G156"/>
    <mergeCell ref="I155:I158"/>
    <mergeCell ref="J155:J158"/>
    <mergeCell ref="L146:N146"/>
    <mergeCell ref="C121:E121"/>
    <mergeCell ref="F121:G121"/>
    <mergeCell ref="H121:I121"/>
    <mergeCell ref="A143:O143"/>
    <mergeCell ref="A144:A153"/>
    <mergeCell ref="B144:F144"/>
    <mergeCell ref="L144:N144"/>
    <mergeCell ref="B145:F145"/>
  </mergeCells>
  <conditionalFormatting sqref="J39:J65">
    <cfRule type="expression" dxfId="7" priority="1">
      <formula>E39&lt;&gt;"Hourly"</formula>
    </cfRule>
  </conditionalFormatting>
  <dataValidations count="2">
    <dataValidation type="list" allowBlank="1" showInputMessage="1" showErrorMessage="1" sqref="E39:E65" xr:uid="{00000000-0002-0000-0400-000000000000}">
      <formula1>$B$12:$B$17</formula1>
    </dataValidation>
    <dataValidation type="list" allowBlank="1" showInputMessage="1" showErrorMessage="1" sqref="F39:F65" xr:uid="{00000000-0002-0000-0400-000001000000}">
      <formula1>INDIRECT(E39)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58"/>
  <sheetViews>
    <sheetView zoomScaleNormal="100" zoomScalePageLayoutView="85" workbookViewId="0">
      <selection activeCell="N6" sqref="N6:O10"/>
    </sheetView>
  </sheetViews>
  <sheetFormatPr defaultColWidth="8.7109375" defaultRowHeight="12.75" x14ac:dyDescent="0.2"/>
  <cols>
    <col min="1" max="2" width="4.28515625" style="1" customWidth="1"/>
    <col min="3" max="3" width="23.7109375" style="1" customWidth="1"/>
    <col min="4" max="4" width="9.7109375" style="1" customWidth="1"/>
    <col min="5" max="5" width="14.7109375" style="1" customWidth="1"/>
    <col min="6" max="6" width="18.7109375" style="1" customWidth="1"/>
    <col min="7" max="7" width="6.42578125" style="1" customWidth="1"/>
    <col min="8" max="8" width="9" style="1" customWidth="1"/>
    <col min="9" max="9" width="8.7109375" style="1" customWidth="1"/>
    <col min="10" max="10" width="11.7109375" style="2" customWidth="1"/>
    <col min="11" max="11" width="13" style="2" customWidth="1"/>
    <col min="12" max="13" width="12.7109375" style="1" customWidth="1"/>
    <col min="14" max="14" width="18" style="1" customWidth="1"/>
    <col min="15" max="15" width="17.28515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7109375" style="1"/>
  </cols>
  <sheetData>
    <row r="1" spans="1:18" s="3" customFormat="1" ht="22.15" customHeight="1" x14ac:dyDescent="0.2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126"/>
    </row>
    <row r="2" spans="1:18" s="3" customFormat="1" ht="35.25" customHeight="1" thickBot="1" x14ac:dyDescent="0.3">
      <c r="A2" s="512" t="s">
        <v>60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127"/>
    </row>
    <row r="3" spans="1:18" s="3" customFormat="1" ht="12" customHeight="1" x14ac:dyDescent="0.25">
      <c r="A3" s="514" t="s">
        <v>62</v>
      </c>
      <c r="B3" s="515"/>
      <c r="C3" s="515"/>
      <c r="D3" s="456">
        <f>'Per3'!D3</f>
        <v>0</v>
      </c>
      <c r="E3" s="456"/>
      <c r="F3" s="456"/>
      <c r="G3" s="24"/>
      <c r="H3" s="122"/>
      <c r="I3" s="122"/>
      <c r="J3" s="122"/>
      <c r="K3" s="460" t="s">
        <v>202</v>
      </c>
      <c r="L3" s="461"/>
      <c r="M3" s="516" t="s">
        <v>201</v>
      </c>
      <c r="N3" s="517"/>
      <c r="O3" s="518"/>
      <c r="P3" s="28"/>
      <c r="Q3" s="14" t="s">
        <v>66</v>
      </c>
    </row>
    <row r="4" spans="1:18" ht="18.600000000000001" customHeight="1" thickBot="1" x14ac:dyDescent="0.3">
      <c r="A4" s="483"/>
      <c r="B4" s="484"/>
      <c r="C4" s="484"/>
      <c r="D4" s="457"/>
      <c r="E4" s="457"/>
      <c r="F4" s="457"/>
      <c r="G4" s="119"/>
      <c r="H4" s="123"/>
      <c r="I4" s="123"/>
      <c r="J4" s="123"/>
      <c r="K4" s="462"/>
      <c r="L4" s="463"/>
      <c r="M4" s="519" t="s">
        <v>65</v>
      </c>
      <c r="N4" s="520"/>
      <c r="O4" s="521"/>
      <c r="P4" s="128"/>
      <c r="Q4" s="255" t="s">
        <v>71</v>
      </c>
    </row>
    <row r="5" spans="1:18" ht="18" customHeight="1" thickBot="1" x14ac:dyDescent="0.3">
      <c r="A5" s="483" t="s">
        <v>67</v>
      </c>
      <c r="B5" s="484"/>
      <c r="C5" s="484"/>
      <c r="D5" s="458">
        <f>'Per3'!D5</f>
        <v>0</v>
      </c>
      <c r="E5" s="458"/>
      <c r="F5" s="458"/>
      <c r="G5" s="52"/>
      <c r="H5" s="53"/>
      <c r="I5" s="53"/>
      <c r="J5" s="35"/>
      <c r="K5" s="459" t="s">
        <v>68</v>
      </c>
      <c r="L5" s="568">
        <f>'Per3'!L7+1</f>
        <v>46631</v>
      </c>
      <c r="M5" s="129"/>
      <c r="N5" s="130" t="s">
        <v>69</v>
      </c>
      <c r="O5" s="131" t="s">
        <v>70</v>
      </c>
      <c r="P5" s="132"/>
      <c r="Q5" s="14" t="s">
        <v>73</v>
      </c>
      <c r="R5" s="133"/>
    </row>
    <row r="6" spans="1:18" ht="12" customHeight="1" thickTop="1" x14ac:dyDescent="0.25">
      <c r="A6" s="483"/>
      <c r="B6" s="484"/>
      <c r="C6" s="484"/>
      <c r="D6" s="457"/>
      <c r="E6" s="457"/>
      <c r="F6" s="457"/>
      <c r="G6" s="119"/>
      <c r="H6" s="53"/>
      <c r="I6" s="53"/>
      <c r="J6" s="35"/>
      <c r="K6" s="459"/>
      <c r="L6" s="569"/>
      <c r="M6" s="134" t="s">
        <v>72</v>
      </c>
      <c r="N6" s="356">
        <v>1453.34</v>
      </c>
      <c r="O6" s="357">
        <v>726.68</v>
      </c>
      <c r="P6" s="135"/>
      <c r="Q6" s="1" t="s">
        <v>77</v>
      </c>
    </row>
    <row r="7" spans="1:18" ht="12" customHeight="1" x14ac:dyDescent="0.2">
      <c r="A7" s="483" t="s">
        <v>198</v>
      </c>
      <c r="B7" s="484"/>
      <c r="C7" s="484"/>
      <c r="D7" s="498">
        <f>'Per3'!D7</f>
        <v>0</v>
      </c>
      <c r="E7" s="498"/>
      <c r="F7" s="498"/>
      <c r="G7" s="498"/>
      <c r="H7" s="498"/>
      <c r="I7" s="498"/>
      <c r="J7" s="498"/>
      <c r="K7" s="459" t="s">
        <v>75</v>
      </c>
      <c r="L7" s="570">
        <f>EDATE(L5,12)-1</f>
        <v>46996</v>
      </c>
      <c r="M7" s="136" t="s">
        <v>76</v>
      </c>
      <c r="N7" s="358">
        <v>1041.9000000000001</v>
      </c>
      <c r="O7" s="359">
        <v>520.96</v>
      </c>
      <c r="P7" s="135"/>
    </row>
    <row r="8" spans="1:18" ht="12.75" customHeight="1" x14ac:dyDescent="0.2">
      <c r="A8" s="483"/>
      <c r="B8" s="484"/>
      <c r="C8" s="484"/>
      <c r="D8" s="498"/>
      <c r="E8" s="498"/>
      <c r="F8" s="498"/>
      <c r="G8" s="498"/>
      <c r="H8" s="498"/>
      <c r="I8" s="498"/>
      <c r="J8" s="498"/>
      <c r="K8" s="459"/>
      <c r="L8" s="569"/>
      <c r="M8" s="136" t="s">
        <v>78</v>
      </c>
      <c r="N8" s="358">
        <v>1189.2</v>
      </c>
      <c r="O8" s="359">
        <v>594.6</v>
      </c>
      <c r="P8" s="135"/>
    </row>
    <row r="9" spans="1:18" ht="12.75" customHeight="1" x14ac:dyDescent="0.25">
      <c r="A9" s="483"/>
      <c r="B9" s="484"/>
      <c r="C9" s="484"/>
      <c r="D9" s="498"/>
      <c r="E9" s="498"/>
      <c r="F9" s="498"/>
      <c r="G9" s="498"/>
      <c r="H9" s="498"/>
      <c r="I9" s="498"/>
      <c r="J9" s="498"/>
      <c r="K9" s="251"/>
      <c r="L9" s="252"/>
      <c r="M9" s="253" t="s">
        <v>79</v>
      </c>
      <c r="N9" s="360">
        <v>780.24</v>
      </c>
      <c r="O9" s="361">
        <v>390.12</v>
      </c>
      <c r="P9" s="135"/>
    </row>
    <row r="10" spans="1:18" ht="12" customHeight="1" thickBot="1" x14ac:dyDescent="0.3">
      <c r="A10" s="485"/>
      <c r="B10" s="486"/>
      <c r="C10" s="486"/>
      <c r="D10" s="499"/>
      <c r="E10" s="499"/>
      <c r="F10" s="499"/>
      <c r="G10" s="499"/>
      <c r="H10" s="499"/>
      <c r="I10" s="499"/>
      <c r="J10" s="499"/>
      <c r="K10" s="120"/>
      <c r="L10" s="26"/>
      <c r="M10" s="137" t="s">
        <v>80</v>
      </c>
      <c r="N10" s="362" t="s">
        <v>81</v>
      </c>
      <c r="O10" s="363">
        <v>746.09</v>
      </c>
      <c r="P10" s="135"/>
    </row>
    <row r="11" spans="1:18" ht="13.5" hidden="1" thickBot="1" x14ac:dyDescent="0.25">
      <c r="B11" s="210"/>
      <c r="C11" s="210"/>
      <c r="D11" s="210"/>
      <c r="E11" s="279" t="s">
        <v>82</v>
      </c>
      <c r="F11" s="305" t="s">
        <v>83</v>
      </c>
      <c r="G11" s="306" t="s">
        <v>84</v>
      </c>
      <c r="H11" s="307" t="s">
        <v>85</v>
      </c>
      <c r="I11" s="211" t="s">
        <v>86</v>
      </c>
      <c r="J11" s="308" t="s">
        <v>87</v>
      </c>
      <c r="K11" s="210"/>
      <c r="L11" s="210"/>
      <c r="M11" s="210"/>
      <c r="N11" s="210" t="s">
        <v>88</v>
      </c>
      <c r="O11" s="222">
        <v>0</v>
      </c>
      <c r="P11" s="138"/>
    </row>
    <row r="12" spans="1:18" hidden="1" x14ac:dyDescent="0.2">
      <c r="B12" s="279" t="s">
        <v>82</v>
      </c>
      <c r="C12" s="275">
        <f>1/900</f>
        <v>1.1111111111111111E-3</v>
      </c>
      <c r="D12" s="213"/>
      <c r="E12" s="287" t="s">
        <v>88</v>
      </c>
      <c r="F12" s="280" t="s">
        <v>88</v>
      </c>
      <c r="G12" s="297" t="s">
        <v>88</v>
      </c>
      <c r="H12" s="298" t="s">
        <v>88</v>
      </c>
      <c r="I12" s="210" t="s">
        <v>88</v>
      </c>
      <c r="J12" s="293" t="s">
        <v>88</v>
      </c>
      <c r="K12" s="279" t="str">
        <f>B12&amp;M6</f>
        <v>FT_BE_09Emp/Family</v>
      </c>
      <c r="L12" s="273">
        <f>N6</f>
        <v>1453.34</v>
      </c>
      <c r="M12" s="274">
        <v>0.18</v>
      </c>
      <c r="N12" s="275">
        <v>100</v>
      </c>
      <c r="O12" s="210"/>
    </row>
    <row r="13" spans="1:18" hidden="1" x14ac:dyDescent="0.2">
      <c r="B13" s="283" t="s">
        <v>83</v>
      </c>
      <c r="C13" s="282">
        <f>1/1200</f>
        <v>8.3333333333333339E-4</v>
      </c>
      <c r="D13" s="213"/>
      <c r="E13" s="309" t="s">
        <v>72</v>
      </c>
      <c r="F13" s="300" t="s">
        <v>72</v>
      </c>
      <c r="G13" s="301" t="s">
        <v>72</v>
      </c>
      <c r="H13" s="298" t="s">
        <v>89</v>
      </c>
      <c r="I13" s="210"/>
      <c r="J13" s="293" t="s">
        <v>89</v>
      </c>
      <c r="K13" s="287" t="str">
        <f>B12&amp;M7</f>
        <v>FT_BE_09Emp/Child</v>
      </c>
      <c r="L13" s="294">
        <f>N7</f>
        <v>1041.9000000000001</v>
      </c>
      <c r="M13" s="277">
        <v>0.18</v>
      </c>
      <c r="N13" s="278">
        <v>100</v>
      </c>
      <c r="O13" s="210"/>
    </row>
    <row r="14" spans="1:18" hidden="1" x14ac:dyDescent="0.2">
      <c r="B14" s="284" t="s">
        <v>84</v>
      </c>
      <c r="C14" s="286">
        <f>1/1200</f>
        <v>8.3333333333333339E-4</v>
      </c>
      <c r="D14" s="213"/>
      <c r="E14" s="309" t="s">
        <v>76</v>
      </c>
      <c r="F14" s="300" t="s">
        <v>76</v>
      </c>
      <c r="G14" s="301" t="s">
        <v>76</v>
      </c>
      <c r="H14" s="298"/>
      <c r="I14" s="210"/>
      <c r="J14" s="293"/>
      <c r="K14" s="287" t="str">
        <f>B12&amp;M8</f>
        <v>FT_BE_09Emp/Spouse</v>
      </c>
      <c r="L14" s="294">
        <f>N8</f>
        <v>1189.2</v>
      </c>
      <c r="M14" s="277">
        <v>0.18</v>
      </c>
      <c r="N14" s="278">
        <v>100</v>
      </c>
      <c r="O14" s="210"/>
    </row>
    <row r="15" spans="1:18" hidden="1" x14ac:dyDescent="0.2">
      <c r="B15" s="288" t="s">
        <v>85</v>
      </c>
      <c r="C15" s="290">
        <f>1/1200</f>
        <v>8.3333333333333339E-4</v>
      </c>
      <c r="D15" s="213"/>
      <c r="E15" s="309" t="s">
        <v>78</v>
      </c>
      <c r="F15" s="300" t="s">
        <v>78</v>
      </c>
      <c r="G15" s="301" t="s">
        <v>78</v>
      </c>
      <c r="H15" s="298"/>
      <c r="I15" s="210"/>
      <c r="J15" s="293"/>
      <c r="K15" s="287" t="str">
        <f>B12&amp;M9</f>
        <v>FT_BE_09Emp Only</v>
      </c>
      <c r="L15" s="294">
        <f>N9</f>
        <v>780.24</v>
      </c>
      <c r="M15" s="277">
        <v>0.18</v>
      </c>
      <c r="N15" s="278">
        <v>100</v>
      </c>
      <c r="O15" s="210"/>
    </row>
    <row r="16" spans="1:18" hidden="1" x14ac:dyDescent="0.2">
      <c r="B16" s="291" t="s">
        <v>87</v>
      </c>
      <c r="C16" s="293">
        <v>1</v>
      </c>
      <c r="D16" s="213"/>
      <c r="E16" s="310" t="s">
        <v>79</v>
      </c>
      <c r="F16" s="302" t="s">
        <v>79</v>
      </c>
      <c r="G16" s="303" t="s">
        <v>79</v>
      </c>
      <c r="H16" s="304"/>
      <c r="I16" s="29"/>
      <c r="J16" s="311"/>
      <c r="K16" s="283" t="str">
        <f>B13&amp;M6</f>
        <v>FT_BE_12Emp/Family</v>
      </c>
      <c r="L16" s="295">
        <f>N6</f>
        <v>1453.34</v>
      </c>
      <c r="M16" s="281">
        <v>0.18</v>
      </c>
      <c r="N16" s="282">
        <v>100</v>
      </c>
      <c r="O16" s="210"/>
    </row>
    <row r="17" spans="2:15" ht="13.5" hidden="1" thickBot="1" x14ac:dyDescent="0.25">
      <c r="B17" s="215" t="s">
        <v>86</v>
      </c>
      <c r="C17" s="216">
        <v>0</v>
      </c>
      <c r="D17" s="213"/>
      <c r="E17" s="287" t="s">
        <v>89</v>
      </c>
      <c r="F17" s="300" t="s">
        <v>89</v>
      </c>
      <c r="G17" s="301" t="s">
        <v>80</v>
      </c>
      <c r="H17" s="298"/>
      <c r="I17" s="210"/>
      <c r="J17" s="293"/>
      <c r="K17" s="283" t="str">
        <f>B13&amp;M7</f>
        <v>FT_BE_12Emp/Child</v>
      </c>
      <c r="L17" s="295">
        <f t="shared" ref="L17:L19" si="0">N7</f>
        <v>1041.9000000000001</v>
      </c>
      <c r="M17" s="281">
        <v>0.18</v>
      </c>
      <c r="N17" s="282">
        <v>100</v>
      </c>
      <c r="O17" s="210"/>
    </row>
    <row r="18" spans="2:15" ht="13.5" hidden="1" thickBot="1" x14ac:dyDescent="0.25">
      <c r="B18" s="210"/>
      <c r="C18" s="210"/>
      <c r="D18" s="210"/>
      <c r="E18" s="312"/>
      <c r="F18" s="313"/>
      <c r="G18" s="314" t="s">
        <v>89</v>
      </c>
      <c r="H18" s="315"/>
      <c r="I18" s="217"/>
      <c r="J18" s="316"/>
      <c r="K18" s="283" t="str">
        <f>B13&amp;M8</f>
        <v>FT_BE_12Emp/Spouse</v>
      </c>
      <c r="L18" s="295">
        <f t="shared" si="0"/>
        <v>1189.2</v>
      </c>
      <c r="M18" s="281">
        <v>0.18</v>
      </c>
      <c r="N18" s="282">
        <v>100</v>
      </c>
      <c r="O18" s="210"/>
    </row>
    <row r="19" spans="2:15" hidden="1" x14ac:dyDescent="0.2">
      <c r="B19" s="210"/>
      <c r="C19" s="210"/>
      <c r="D19" s="210"/>
      <c r="E19" s="210"/>
      <c r="F19" s="210"/>
      <c r="G19" s="210"/>
      <c r="H19" s="210"/>
      <c r="I19" s="210"/>
      <c r="J19" s="210"/>
      <c r="K19" s="283" t="str">
        <f>B13&amp;M9</f>
        <v>FT_BE_12Emp Only</v>
      </c>
      <c r="L19" s="295">
        <f t="shared" si="0"/>
        <v>780.24</v>
      </c>
      <c r="M19" s="281">
        <v>0.18</v>
      </c>
      <c r="N19" s="282">
        <v>100</v>
      </c>
      <c r="O19" s="210"/>
    </row>
    <row r="20" spans="2:15" hidden="1" x14ac:dyDescent="0.2">
      <c r="B20" s="210"/>
      <c r="C20" s="210"/>
      <c r="D20" s="210"/>
      <c r="E20" s="210"/>
      <c r="F20" s="210"/>
      <c r="G20" s="210"/>
      <c r="H20" s="210"/>
      <c r="I20" s="210"/>
      <c r="J20" s="210"/>
      <c r="K20" s="283" t="str">
        <f>B13&amp;F17</f>
        <v>FT_BE_12None</v>
      </c>
      <c r="L20" s="295">
        <v>0</v>
      </c>
      <c r="M20" s="281">
        <v>0.18</v>
      </c>
      <c r="N20" s="282">
        <v>0</v>
      </c>
      <c r="O20" s="210"/>
    </row>
    <row r="21" spans="2:15" hidden="1" x14ac:dyDescent="0.2">
      <c r="B21" s="210"/>
      <c r="C21" s="210"/>
      <c r="D21" s="210"/>
      <c r="E21" s="210"/>
      <c r="F21" s="210"/>
      <c r="G21" s="210"/>
      <c r="H21" s="210"/>
      <c r="I21" s="210"/>
      <c r="J21" s="210"/>
      <c r="K21" s="284" t="str">
        <f>B14&amp;M6</f>
        <v>PT_BE_12Emp/Family</v>
      </c>
      <c r="L21" s="296">
        <f>N6</f>
        <v>1453.34</v>
      </c>
      <c r="M21" s="285">
        <v>0.18</v>
      </c>
      <c r="N21" s="286">
        <v>50</v>
      </c>
      <c r="O21" s="210"/>
    </row>
    <row r="22" spans="2:15" hidden="1" x14ac:dyDescent="0.2">
      <c r="B22" s="210"/>
      <c r="C22" s="210"/>
      <c r="D22" s="210"/>
      <c r="E22" s="210"/>
      <c r="F22" s="210"/>
      <c r="G22" s="210"/>
      <c r="H22" s="210"/>
      <c r="I22" s="210"/>
      <c r="J22" s="210"/>
      <c r="K22" s="284" t="str">
        <f>B14&amp;M7</f>
        <v>PT_BE_12Emp/Child</v>
      </c>
      <c r="L22" s="296">
        <f t="shared" ref="L22:L24" si="1">N7</f>
        <v>1041.9000000000001</v>
      </c>
      <c r="M22" s="285">
        <v>0.18</v>
      </c>
      <c r="N22" s="286">
        <v>50</v>
      </c>
      <c r="O22" s="210"/>
    </row>
    <row r="23" spans="2:15" hidden="1" x14ac:dyDescent="0.2">
      <c r="B23" s="210"/>
      <c r="C23" s="210"/>
      <c r="D23" s="210"/>
      <c r="E23" s="210"/>
      <c r="F23" s="210"/>
      <c r="G23" s="210"/>
      <c r="H23" s="210"/>
      <c r="I23" s="210"/>
      <c r="J23" s="210"/>
      <c r="K23" s="284" t="str">
        <f>B14&amp;M8</f>
        <v>PT_BE_12Emp/Spouse</v>
      </c>
      <c r="L23" s="296">
        <f t="shared" si="1"/>
        <v>1189.2</v>
      </c>
      <c r="M23" s="285">
        <v>0.18</v>
      </c>
      <c r="N23" s="286">
        <v>50</v>
      </c>
      <c r="O23" s="210"/>
    </row>
    <row r="24" spans="2:15" hidden="1" x14ac:dyDescent="0.2">
      <c r="B24" s="210"/>
      <c r="C24" s="210"/>
      <c r="D24" s="210"/>
      <c r="E24" s="210"/>
      <c r="F24" s="210"/>
      <c r="G24" s="210"/>
      <c r="H24" s="210"/>
      <c r="I24" s="210"/>
      <c r="J24" s="210"/>
      <c r="K24" s="284" t="str">
        <f>B14&amp;M9</f>
        <v>PT_BE_12Emp Only</v>
      </c>
      <c r="L24" s="296">
        <f t="shared" si="1"/>
        <v>780.24</v>
      </c>
      <c r="M24" s="285">
        <v>0.18</v>
      </c>
      <c r="N24" s="286">
        <v>50</v>
      </c>
      <c r="O24" s="210"/>
    </row>
    <row r="25" spans="2:15" hidden="1" x14ac:dyDescent="0.2">
      <c r="B25" s="210"/>
      <c r="C25" s="210"/>
      <c r="D25" s="210"/>
      <c r="E25" s="210"/>
      <c r="F25" s="210"/>
      <c r="G25" s="210"/>
      <c r="H25" s="210"/>
      <c r="I25" s="210"/>
      <c r="J25" s="210"/>
      <c r="K25" s="284" t="str">
        <f>B14&amp;G17</f>
        <v>PT_BE_12Grad Res Asst</v>
      </c>
      <c r="L25" s="296">
        <f>O10</f>
        <v>746.09</v>
      </c>
      <c r="M25" s="285">
        <v>0.08</v>
      </c>
      <c r="N25" s="286">
        <v>100</v>
      </c>
      <c r="O25" s="210"/>
    </row>
    <row r="26" spans="2:15" hidden="1" x14ac:dyDescent="0.2">
      <c r="B26" s="210"/>
      <c r="C26" s="210"/>
      <c r="D26" s="210"/>
      <c r="E26" s="210"/>
      <c r="F26" s="210"/>
      <c r="G26" s="210"/>
      <c r="H26" s="210"/>
      <c r="I26" s="210"/>
      <c r="J26" s="210"/>
      <c r="K26" s="284" t="str">
        <f>B14&amp;G18</f>
        <v>PT_BE_12None</v>
      </c>
      <c r="L26" s="296">
        <v>0</v>
      </c>
      <c r="M26" s="285">
        <v>0.08</v>
      </c>
      <c r="N26" s="286">
        <v>0</v>
      </c>
      <c r="O26" s="210"/>
    </row>
    <row r="27" spans="2:15" hidden="1" x14ac:dyDescent="0.2">
      <c r="B27" s="210"/>
      <c r="C27" s="210"/>
      <c r="D27" s="210"/>
      <c r="E27" s="210"/>
      <c r="F27" s="210"/>
      <c r="G27" s="210"/>
      <c r="H27" s="210"/>
      <c r="I27" s="210"/>
      <c r="J27" s="210"/>
      <c r="K27" s="284" t="str">
        <f>B14&amp;G12</f>
        <v>PT_BE_12Select One</v>
      </c>
      <c r="L27" s="297">
        <v>0</v>
      </c>
      <c r="M27" s="285">
        <v>0</v>
      </c>
      <c r="N27" s="286">
        <v>0</v>
      </c>
      <c r="O27" s="210"/>
    </row>
    <row r="28" spans="2:15" hidden="1" x14ac:dyDescent="0.2">
      <c r="B28" s="210"/>
      <c r="C28" s="210"/>
      <c r="D28" s="210"/>
      <c r="E28" s="210"/>
      <c r="F28" s="210"/>
      <c r="G28" s="210"/>
      <c r="H28" s="210"/>
      <c r="I28" s="210"/>
      <c r="J28" s="210"/>
      <c r="K28" s="288" t="str">
        <f>B15&amp;H13</f>
        <v>PT_NB_12None</v>
      </c>
      <c r="L28" s="298">
        <v>0</v>
      </c>
      <c r="M28" s="289">
        <v>0.08</v>
      </c>
      <c r="N28" s="290">
        <v>0</v>
      </c>
      <c r="O28" s="210"/>
    </row>
    <row r="29" spans="2:15" hidden="1" x14ac:dyDescent="0.2">
      <c r="B29" s="210"/>
      <c r="C29" s="210"/>
      <c r="D29" s="210"/>
      <c r="E29" s="210"/>
      <c r="F29" s="210"/>
      <c r="G29" s="210"/>
      <c r="H29" s="210"/>
      <c r="I29" s="210"/>
      <c r="J29" s="210"/>
      <c r="K29" s="291" t="str">
        <f>B16&amp;J13</f>
        <v>HourlyNone</v>
      </c>
      <c r="L29" s="299">
        <v>0</v>
      </c>
      <c r="M29" s="292">
        <v>0.08</v>
      </c>
      <c r="N29" s="293">
        <v>0</v>
      </c>
      <c r="O29" s="210"/>
    </row>
    <row r="30" spans="2:15" hidden="1" x14ac:dyDescent="0.2">
      <c r="B30" s="210"/>
      <c r="C30" s="210"/>
      <c r="D30" s="210"/>
      <c r="E30" s="210"/>
      <c r="F30" s="210"/>
      <c r="G30" s="210"/>
      <c r="H30" s="210"/>
      <c r="I30" s="210"/>
      <c r="J30" s="210"/>
      <c r="K30" s="287" t="str">
        <f>B12&amp;E12</f>
        <v>FT_BE_09Select One</v>
      </c>
      <c r="L30" s="276">
        <v>0</v>
      </c>
      <c r="M30" s="277">
        <v>0</v>
      </c>
      <c r="N30" s="278">
        <v>0</v>
      </c>
      <c r="O30" s="210"/>
    </row>
    <row r="31" spans="2:15" hidden="1" x14ac:dyDescent="0.2">
      <c r="B31" s="210"/>
      <c r="C31" s="210"/>
      <c r="D31" s="210"/>
      <c r="E31" s="210"/>
      <c r="F31" s="210"/>
      <c r="G31" s="210"/>
      <c r="H31" s="210"/>
      <c r="I31" s="210"/>
      <c r="J31" s="210"/>
      <c r="K31" s="283" t="str">
        <f>B13&amp;F12</f>
        <v>FT_BE_12Select One</v>
      </c>
      <c r="L31" s="280">
        <v>0</v>
      </c>
      <c r="M31" s="281">
        <v>0</v>
      </c>
      <c r="N31" s="282">
        <v>0</v>
      </c>
      <c r="O31" s="210"/>
    </row>
    <row r="32" spans="2:15" hidden="1" x14ac:dyDescent="0.2">
      <c r="B32" s="210"/>
      <c r="C32" s="210"/>
      <c r="D32" s="210"/>
      <c r="E32" s="210"/>
      <c r="F32" s="210"/>
      <c r="G32" s="210"/>
      <c r="H32" s="210"/>
      <c r="I32" s="210"/>
      <c r="J32" s="210"/>
      <c r="K32" s="287" t="str">
        <f>B12&amp;E17</f>
        <v>FT_BE_09None</v>
      </c>
      <c r="L32" s="276">
        <v>0</v>
      </c>
      <c r="M32" s="277">
        <v>0.18</v>
      </c>
      <c r="N32" s="278">
        <v>0</v>
      </c>
      <c r="O32" s="210"/>
    </row>
    <row r="33" spans="1:19" hidden="1" x14ac:dyDescent="0.2">
      <c r="B33" s="210"/>
      <c r="C33" s="210"/>
      <c r="D33" s="210"/>
      <c r="E33" s="210"/>
      <c r="F33" s="210"/>
      <c r="G33" s="210"/>
      <c r="H33" s="210"/>
      <c r="I33" s="210"/>
      <c r="J33" s="210"/>
      <c r="K33" s="288" t="str">
        <f>B15&amp;H12</f>
        <v>PT_NB_12Select One</v>
      </c>
      <c r="L33" s="298">
        <v>0</v>
      </c>
      <c r="M33" s="289">
        <v>0</v>
      </c>
      <c r="N33" s="290">
        <v>0</v>
      </c>
      <c r="O33" s="210"/>
    </row>
    <row r="34" spans="1:19" hidden="1" x14ac:dyDescent="0.2">
      <c r="B34" s="210"/>
      <c r="C34" s="210"/>
      <c r="D34" s="210"/>
      <c r="E34" s="210"/>
      <c r="F34" s="210"/>
      <c r="G34" s="210"/>
      <c r="H34" s="210"/>
      <c r="I34" s="210"/>
      <c r="J34" s="210"/>
      <c r="K34" s="291" t="str">
        <f>B16&amp;J12</f>
        <v>HourlySelect One</v>
      </c>
      <c r="L34" s="299">
        <v>0</v>
      </c>
      <c r="M34" s="292">
        <v>0</v>
      </c>
      <c r="N34" s="293">
        <v>0</v>
      </c>
      <c r="O34" s="210"/>
    </row>
    <row r="35" spans="1:19" ht="13.5" hidden="1" thickBot="1" x14ac:dyDescent="0.25">
      <c r="B35" s="210"/>
      <c r="C35" s="210"/>
      <c r="D35" s="210"/>
      <c r="E35" s="210"/>
      <c r="F35" s="210"/>
      <c r="G35" s="210"/>
      <c r="H35" s="210"/>
      <c r="I35" s="210"/>
      <c r="J35" s="210"/>
      <c r="K35" s="215" t="str">
        <f>B17&amp;I12</f>
        <v>SelectSelect One</v>
      </c>
      <c r="L35" s="217"/>
      <c r="M35" s="317"/>
      <c r="N35" s="216"/>
      <c r="O35" s="210"/>
    </row>
    <row r="36" spans="1:19" ht="18" customHeight="1" thickBot="1" x14ac:dyDescent="0.25">
      <c r="A36" s="490"/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</row>
    <row r="37" spans="1:19" ht="13.5" customHeight="1" x14ac:dyDescent="0.2">
      <c r="A37" s="414" t="s">
        <v>90</v>
      </c>
      <c r="B37" s="494" t="s">
        <v>91</v>
      </c>
      <c r="C37" s="495"/>
      <c r="D37" s="495"/>
      <c r="E37" s="495"/>
      <c r="F37" s="495"/>
      <c r="G37" s="495"/>
      <c r="H37" s="495"/>
      <c r="I37" s="495"/>
      <c r="J37" s="495"/>
      <c r="K37" s="496" t="s">
        <v>92</v>
      </c>
      <c r="L37" s="497"/>
      <c r="M37" s="234">
        <f>SUM(M39:M65)</f>
        <v>0</v>
      </c>
      <c r="N37" s="234">
        <f>SUM(N39:N65)</f>
        <v>0</v>
      </c>
      <c r="O37" s="235">
        <f>SUM(O39:O65)</f>
        <v>0</v>
      </c>
    </row>
    <row r="38" spans="1:19" ht="49.9" customHeight="1" x14ac:dyDescent="0.2">
      <c r="A38" s="415"/>
      <c r="B38" s="491" t="s">
        <v>93</v>
      </c>
      <c r="C38" s="491"/>
      <c r="D38" s="34" t="s">
        <v>94</v>
      </c>
      <c r="E38" s="34" t="s">
        <v>95</v>
      </c>
      <c r="F38" s="140" t="s">
        <v>96</v>
      </c>
      <c r="G38" s="492" t="s">
        <v>97</v>
      </c>
      <c r="H38" s="493"/>
      <c r="I38" s="34" t="s">
        <v>98</v>
      </c>
      <c r="J38" s="34" t="s">
        <v>99</v>
      </c>
      <c r="K38" s="34" t="s">
        <v>100</v>
      </c>
      <c r="L38" s="34" t="s">
        <v>101</v>
      </c>
      <c r="M38" s="34" t="s">
        <v>102</v>
      </c>
      <c r="N38" s="34" t="s">
        <v>103</v>
      </c>
      <c r="O38" s="141" t="s">
        <v>104</v>
      </c>
      <c r="P38" s="142"/>
      <c r="S38" s="5"/>
    </row>
    <row r="39" spans="1:19" ht="13.5" customHeight="1" x14ac:dyDescent="0.2">
      <c r="A39" s="415"/>
      <c r="B39" s="383" t="str">
        <f>IF('Per3'!B39&lt;&gt;"",'Per3'!B39,"")</f>
        <v/>
      </c>
      <c r="C39" s="383"/>
      <c r="D39" s="60" t="str">
        <f>IF('Per3'!D39&lt;&gt;"",'Per3'!D39,"")</f>
        <v/>
      </c>
      <c r="E39" s="143" t="str">
        <f>'Per1'!E39</f>
        <v>Select</v>
      </c>
      <c r="F39" s="144" t="str">
        <f>'Per1'!F39</f>
        <v>Select One</v>
      </c>
      <c r="G39" s="481">
        <f>IF(E39="Hourly",ROUND('Per3'!G39*1.03,2),ROUND('Per3'!G39*1.03,0))</f>
        <v>0</v>
      </c>
      <c r="H39" s="482"/>
      <c r="I39" s="6"/>
      <c r="J39" s="27"/>
      <c r="K39" s="209">
        <f>IF(E39="Hourly",I39*J39/173.33,I39*J39/100)</f>
        <v>0</v>
      </c>
      <c r="L39" s="7" t="str">
        <f t="shared" ref="L39:L65" si="2">IF(M39&lt;&gt;0,SUM(N39/M39),"-")</f>
        <v>-</v>
      </c>
      <c r="M39" s="19">
        <f t="shared" ref="M39:M65" si="3">ROUND((G39*I39*J39*VLOOKUP(E39,$B$12:$C$17,2,FALSE)),0)</f>
        <v>0</v>
      </c>
      <c r="N39" s="19">
        <f t="shared" ref="N39:N65" si="4">ROUND(M39*VLOOKUP(E39&amp;F39,$K$12:$N$35,3,FALSE)+VLOOKUP(E39&amp;F39,$K$12:$N$35,2,FALSE)*MIN(J39,VLOOKUP(E39&amp;F39,$K$12:$N$35,4,FALSE))*I39/100,0)</f>
        <v>0</v>
      </c>
      <c r="O39" s="20">
        <f t="shared" ref="O39:O65" si="5">M39+N39</f>
        <v>0</v>
      </c>
      <c r="P39" s="145"/>
      <c r="Q39" s="14" t="s">
        <v>105</v>
      </c>
      <c r="S39" s="133"/>
    </row>
    <row r="40" spans="1:19" ht="13.5" customHeight="1" x14ac:dyDescent="0.2">
      <c r="A40" s="415"/>
      <c r="B40" s="383" t="str">
        <f>IF('Per3'!B40&lt;&gt;"",'Per3'!B40,"")</f>
        <v/>
      </c>
      <c r="C40" s="383"/>
      <c r="D40" s="60" t="str">
        <f>IF('Per3'!D40&lt;&gt;"",'Per3'!D40,"")</f>
        <v/>
      </c>
      <c r="E40" s="143" t="str">
        <f>'Per1'!E40</f>
        <v>Select</v>
      </c>
      <c r="F40" s="144" t="str">
        <f>'Per1'!F40</f>
        <v>Select One</v>
      </c>
      <c r="G40" s="481">
        <f>IF(E40="Hourly",ROUND('Per3'!G40*1.03,2),ROUND('Per3'!G40*1.03,0))</f>
        <v>0</v>
      </c>
      <c r="H40" s="482"/>
      <c r="I40" s="6"/>
      <c r="J40" s="27"/>
      <c r="K40" s="209">
        <f t="shared" ref="K40:K65" si="6">IF(E40="Hourly",I40*J40/173.33,I40*J40/100)</f>
        <v>0</v>
      </c>
      <c r="L40" s="7" t="str">
        <f t="shared" si="2"/>
        <v>-</v>
      </c>
      <c r="M40" s="19">
        <f t="shared" si="3"/>
        <v>0</v>
      </c>
      <c r="N40" s="19">
        <f t="shared" si="4"/>
        <v>0</v>
      </c>
      <c r="O40" s="8">
        <f t="shared" si="5"/>
        <v>0</v>
      </c>
      <c r="P40" s="30"/>
      <c r="Q40" s="14" t="s">
        <v>106</v>
      </c>
      <c r="S40" s="133"/>
    </row>
    <row r="41" spans="1:19" ht="13.5" customHeight="1" x14ac:dyDescent="0.2">
      <c r="A41" s="415"/>
      <c r="B41" s="383" t="str">
        <f>IF('Per3'!B41&lt;&gt;"",'Per3'!B41,"")</f>
        <v/>
      </c>
      <c r="C41" s="383"/>
      <c r="D41" s="60" t="str">
        <f>IF('Per3'!D41&lt;&gt;"",'Per3'!D41,"")</f>
        <v/>
      </c>
      <c r="E41" s="143" t="str">
        <f>'Per1'!E41</f>
        <v>Select</v>
      </c>
      <c r="F41" s="144" t="str">
        <f>'Per1'!F41</f>
        <v>Select One</v>
      </c>
      <c r="G41" s="481">
        <f>IF(E41="Hourly",ROUND('Per3'!G41*1.03,2),ROUND('Per3'!G41*1.03,0))</f>
        <v>0</v>
      </c>
      <c r="H41" s="482"/>
      <c r="I41" s="6"/>
      <c r="J41" s="27"/>
      <c r="K41" s="209">
        <f t="shared" si="6"/>
        <v>0</v>
      </c>
      <c r="L41" s="7" t="str">
        <f t="shared" si="2"/>
        <v>-</v>
      </c>
      <c r="M41" s="19">
        <f t="shared" si="3"/>
        <v>0</v>
      </c>
      <c r="N41" s="19">
        <f t="shared" si="4"/>
        <v>0</v>
      </c>
      <c r="O41" s="8">
        <f t="shared" si="5"/>
        <v>0</v>
      </c>
      <c r="P41" s="30"/>
      <c r="Q41" s="14" t="s">
        <v>107</v>
      </c>
      <c r="S41" s="133"/>
    </row>
    <row r="42" spans="1:19" ht="13.5" customHeight="1" x14ac:dyDescent="0.2">
      <c r="A42" s="415"/>
      <c r="B42" s="383" t="str">
        <f>IF('Per3'!B42&lt;&gt;"",'Per3'!B42,"")</f>
        <v/>
      </c>
      <c r="C42" s="383"/>
      <c r="D42" s="60" t="str">
        <f>IF('Per3'!D42&lt;&gt;"",'Per3'!D42,"")</f>
        <v/>
      </c>
      <c r="E42" s="143" t="str">
        <f>'Per1'!E42</f>
        <v>Select</v>
      </c>
      <c r="F42" s="144" t="str">
        <f>'Per1'!F42</f>
        <v>Select One</v>
      </c>
      <c r="G42" s="481">
        <f>IF(E42="Hourly",ROUND('Per3'!G42*1.03,2),ROUND('Per3'!G42*1.03,0))</f>
        <v>0</v>
      </c>
      <c r="H42" s="482"/>
      <c r="I42" s="6"/>
      <c r="J42" s="27"/>
      <c r="K42" s="209">
        <f t="shared" si="6"/>
        <v>0</v>
      </c>
      <c r="L42" s="7" t="str">
        <f t="shared" si="2"/>
        <v>-</v>
      </c>
      <c r="M42" s="19">
        <f t="shared" si="3"/>
        <v>0</v>
      </c>
      <c r="N42" s="19">
        <f t="shared" si="4"/>
        <v>0</v>
      </c>
      <c r="O42" s="8">
        <f t="shared" si="5"/>
        <v>0</v>
      </c>
      <c r="P42" s="30"/>
      <c r="Q42" s="14" t="s">
        <v>108</v>
      </c>
      <c r="S42" s="133"/>
    </row>
    <row r="43" spans="1:19" ht="13.5" customHeight="1" x14ac:dyDescent="0.2">
      <c r="A43" s="415"/>
      <c r="B43" s="383" t="str">
        <f>IF('Per3'!B43&lt;&gt;"",'Per3'!B43,"")</f>
        <v/>
      </c>
      <c r="C43" s="383"/>
      <c r="D43" s="60" t="str">
        <f>IF('Per3'!D43&lt;&gt;"",'Per3'!D43,"")</f>
        <v/>
      </c>
      <c r="E43" s="143" t="str">
        <f>'Per1'!E43</f>
        <v>Select</v>
      </c>
      <c r="F43" s="144" t="str">
        <f>'Per1'!F43</f>
        <v>Select One</v>
      </c>
      <c r="G43" s="481">
        <f>IF(E43="Hourly",ROUND('Per3'!G43*1.03,2),ROUND('Per3'!G43*1.03,0))</f>
        <v>0</v>
      </c>
      <c r="H43" s="482"/>
      <c r="I43" s="6"/>
      <c r="J43" s="27"/>
      <c r="K43" s="209">
        <f t="shared" si="6"/>
        <v>0</v>
      </c>
      <c r="L43" s="7" t="str">
        <f t="shared" si="2"/>
        <v>-</v>
      </c>
      <c r="M43" s="19">
        <f t="shared" si="3"/>
        <v>0</v>
      </c>
      <c r="N43" s="19">
        <f t="shared" si="4"/>
        <v>0</v>
      </c>
      <c r="O43" s="8">
        <f t="shared" si="5"/>
        <v>0</v>
      </c>
      <c r="P43" s="30"/>
      <c r="Q43" s="14" t="s">
        <v>109</v>
      </c>
      <c r="S43" s="133"/>
    </row>
    <row r="44" spans="1:19" ht="13.5" customHeight="1" x14ac:dyDescent="0.2">
      <c r="A44" s="415"/>
      <c r="B44" s="383" t="str">
        <f>IF('Per3'!B44&lt;&gt;"",'Per3'!B44,"")</f>
        <v/>
      </c>
      <c r="C44" s="383"/>
      <c r="D44" s="60" t="str">
        <f>IF('Per3'!D44&lt;&gt;"",'Per3'!D44,"")</f>
        <v/>
      </c>
      <c r="E44" s="143" t="str">
        <f>'Per1'!E44</f>
        <v>Select</v>
      </c>
      <c r="F44" s="144" t="str">
        <f>'Per1'!F44</f>
        <v>Select One</v>
      </c>
      <c r="G44" s="481">
        <f>IF(E44="Hourly",ROUND('Per3'!G44*1.03,2),ROUND('Per3'!G44*1.03,0))</f>
        <v>0</v>
      </c>
      <c r="H44" s="482"/>
      <c r="I44" s="6"/>
      <c r="J44" s="27"/>
      <c r="K44" s="209">
        <f t="shared" si="6"/>
        <v>0</v>
      </c>
      <c r="L44" s="7" t="str">
        <f t="shared" si="2"/>
        <v>-</v>
      </c>
      <c r="M44" s="19">
        <f t="shared" si="3"/>
        <v>0</v>
      </c>
      <c r="N44" s="19">
        <f t="shared" si="4"/>
        <v>0</v>
      </c>
      <c r="O44" s="8">
        <f t="shared" si="5"/>
        <v>0</v>
      </c>
      <c r="P44" s="30"/>
      <c r="Q44" s="14" t="s">
        <v>110</v>
      </c>
      <c r="S44" s="146"/>
    </row>
    <row r="45" spans="1:19" ht="13.5" customHeight="1" x14ac:dyDescent="0.2">
      <c r="A45" s="415"/>
      <c r="B45" s="383" t="str">
        <f>IF('Per3'!B45&lt;&gt;"",'Per3'!B45,"")</f>
        <v/>
      </c>
      <c r="C45" s="383"/>
      <c r="D45" s="60" t="str">
        <f>IF('Per3'!D45&lt;&gt;"",'Per3'!D45,"")</f>
        <v/>
      </c>
      <c r="E45" s="143" t="str">
        <f>'Per1'!E45</f>
        <v>Select</v>
      </c>
      <c r="F45" s="144" t="str">
        <f>'Per1'!F45</f>
        <v>Select One</v>
      </c>
      <c r="G45" s="481">
        <f>IF(E45="Hourly",ROUND('Per3'!G45*1.03,2),ROUND('Per3'!G45*1.03,0))</f>
        <v>0</v>
      </c>
      <c r="H45" s="482"/>
      <c r="I45" s="6"/>
      <c r="J45" s="27"/>
      <c r="K45" s="209">
        <f t="shared" si="6"/>
        <v>0</v>
      </c>
      <c r="L45" s="7" t="str">
        <f t="shared" si="2"/>
        <v>-</v>
      </c>
      <c r="M45" s="19">
        <f t="shared" si="3"/>
        <v>0</v>
      </c>
      <c r="N45" s="19">
        <f t="shared" si="4"/>
        <v>0</v>
      </c>
      <c r="O45" s="8">
        <f t="shared" si="5"/>
        <v>0</v>
      </c>
      <c r="P45" s="30"/>
      <c r="Q45" s="14"/>
      <c r="S45" s="146"/>
    </row>
    <row r="46" spans="1:19" ht="13.5" customHeight="1" x14ac:dyDescent="0.2">
      <c r="A46" s="415"/>
      <c r="B46" s="383" t="str">
        <f>IF('Per3'!B46&lt;&gt;"",'Per3'!B46,"")</f>
        <v/>
      </c>
      <c r="C46" s="383"/>
      <c r="D46" s="60" t="str">
        <f>IF('Per3'!D46&lt;&gt;"",'Per3'!D46,"")</f>
        <v/>
      </c>
      <c r="E46" s="143" t="str">
        <f>'Per1'!E46</f>
        <v>Select</v>
      </c>
      <c r="F46" s="144" t="str">
        <f>'Per1'!F46</f>
        <v>Select One</v>
      </c>
      <c r="G46" s="481">
        <f>IF(E46="Hourly",ROUND('Per3'!G46*1.03,2),ROUND('Per3'!G46*1.03,0))</f>
        <v>0</v>
      </c>
      <c r="H46" s="482"/>
      <c r="I46" s="6"/>
      <c r="J46" s="27"/>
      <c r="K46" s="209">
        <f t="shared" si="6"/>
        <v>0</v>
      </c>
      <c r="L46" s="7" t="str">
        <f t="shared" si="2"/>
        <v>-</v>
      </c>
      <c r="M46" s="19">
        <f t="shared" si="3"/>
        <v>0</v>
      </c>
      <c r="N46" s="19">
        <f t="shared" si="4"/>
        <v>0</v>
      </c>
      <c r="O46" s="8">
        <f t="shared" si="5"/>
        <v>0</v>
      </c>
      <c r="P46" s="30"/>
      <c r="Q46" s="14"/>
      <c r="S46" s="146"/>
    </row>
    <row r="47" spans="1:19" ht="13.5" customHeight="1" x14ac:dyDescent="0.2">
      <c r="A47" s="415"/>
      <c r="B47" s="383" t="str">
        <f>IF('Per3'!B47&lt;&gt;"",'Per3'!B47,"")</f>
        <v/>
      </c>
      <c r="C47" s="383"/>
      <c r="D47" s="60" t="str">
        <f>IF('Per3'!D47&lt;&gt;"",'Per3'!D47,"")</f>
        <v/>
      </c>
      <c r="E47" s="143" t="str">
        <f>'Per1'!E47</f>
        <v>Select</v>
      </c>
      <c r="F47" s="144" t="str">
        <f>'Per1'!F47</f>
        <v>Select One</v>
      </c>
      <c r="G47" s="481">
        <f>IF(E47="Hourly",ROUND('Per3'!G47*1.03,2),ROUND('Per3'!G47*1.03,0))</f>
        <v>0</v>
      </c>
      <c r="H47" s="482"/>
      <c r="I47" s="6"/>
      <c r="J47" s="27"/>
      <c r="K47" s="209">
        <f t="shared" si="6"/>
        <v>0</v>
      </c>
      <c r="L47" s="7" t="str">
        <f t="shared" si="2"/>
        <v>-</v>
      </c>
      <c r="M47" s="19">
        <f t="shared" si="3"/>
        <v>0</v>
      </c>
      <c r="N47" s="19">
        <f t="shared" si="4"/>
        <v>0</v>
      </c>
      <c r="O47" s="8">
        <f t="shared" si="5"/>
        <v>0</v>
      </c>
      <c r="P47" s="30"/>
      <c r="Q47" s="14"/>
      <c r="S47" s="146"/>
    </row>
    <row r="48" spans="1:19" ht="13.5" customHeight="1" thickBot="1" x14ac:dyDescent="0.25">
      <c r="A48" s="415"/>
      <c r="B48" s="383" t="str">
        <f>IF('Per3'!B48&lt;&gt;"",'Per3'!B48,"")</f>
        <v/>
      </c>
      <c r="C48" s="383"/>
      <c r="D48" s="60" t="str">
        <f>IF('Per3'!D48&lt;&gt;"",'Per3'!D48,"")</f>
        <v/>
      </c>
      <c r="E48" s="143" t="str">
        <f>'Per1'!E48</f>
        <v>Select</v>
      </c>
      <c r="F48" s="144" t="str">
        <f>'Per1'!F48</f>
        <v>Select One</v>
      </c>
      <c r="G48" s="481">
        <f>IF(E48="Hourly",ROUND('Per3'!G48*1.03,2),ROUND('Per3'!G48*1.03,0))</f>
        <v>0</v>
      </c>
      <c r="H48" s="482"/>
      <c r="I48" s="6"/>
      <c r="J48" s="27"/>
      <c r="K48" s="209">
        <f t="shared" si="6"/>
        <v>0</v>
      </c>
      <c r="L48" s="7" t="str">
        <f t="shared" si="2"/>
        <v>-</v>
      </c>
      <c r="M48" s="19">
        <f t="shared" si="3"/>
        <v>0</v>
      </c>
      <c r="N48" s="19">
        <f t="shared" si="4"/>
        <v>0</v>
      </c>
      <c r="O48" s="8">
        <f t="shared" si="5"/>
        <v>0</v>
      </c>
      <c r="P48" s="30"/>
      <c r="Q48" s="14"/>
      <c r="S48" s="146"/>
    </row>
    <row r="49" spans="1:19" ht="13.5" hidden="1" customHeight="1" x14ac:dyDescent="0.2">
      <c r="A49" s="415"/>
      <c r="B49" s="383" t="str">
        <f>IF('Per3'!B49&lt;&gt;"",'Per3'!B49,"")</f>
        <v/>
      </c>
      <c r="C49" s="383"/>
      <c r="D49" s="60" t="str">
        <f>IF('Per3'!D49&lt;&gt;"",'Per3'!D49,"")</f>
        <v/>
      </c>
      <c r="E49" s="143" t="str">
        <f>'Per1'!E49</f>
        <v>Select</v>
      </c>
      <c r="F49" s="144" t="str">
        <f>'Per1'!F49</f>
        <v>Select One</v>
      </c>
      <c r="G49" s="481">
        <f>IF(E49="Hourly",ROUND('Per3'!G49*1.03,2),ROUND('Per3'!G49*1.03,0))</f>
        <v>0</v>
      </c>
      <c r="H49" s="482"/>
      <c r="I49" s="6"/>
      <c r="J49" s="27"/>
      <c r="K49" s="209">
        <f t="shared" si="6"/>
        <v>0</v>
      </c>
      <c r="L49" s="7" t="str">
        <f t="shared" si="2"/>
        <v>-</v>
      </c>
      <c r="M49" s="19">
        <f t="shared" si="3"/>
        <v>0</v>
      </c>
      <c r="N49" s="19">
        <f t="shared" si="4"/>
        <v>0</v>
      </c>
      <c r="O49" s="8">
        <f t="shared" si="5"/>
        <v>0</v>
      </c>
      <c r="P49" s="30"/>
      <c r="Q49" s="224" t="s">
        <v>111</v>
      </c>
      <c r="S49" s="146"/>
    </row>
    <row r="50" spans="1:19" ht="13.5" hidden="1" customHeight="1" x14ac:dyDescent="0.2">
      <c r="A50" s="415"/>
      <c r="B50" s="383" t="str">
        <f>IF('Per3'!B50&lt;&gt;"",'Per3'!B50,"")</f>
        <v/>
      </c>
      <c r="C50" s="383"/>
      <c r="D50" s="60" t="str">
        <f>IF('Per3'!D50&lt;&gt;"",'Per3'!D50,"")</f>
        <v/>
      </c>
      <c r="E50" s="143" t="str">
        <f>'Per1'!E50</f>
        <v>Select</v>
      </c>
      <c r="F50" s="144" t="str">
        <f>'Per1'!F50</f>
        <v>Select One</v>
      </c>
      <c r="G50" s="481">
        <f>IF(E50="Hourly",ROUND('Per3'!G50*1.03,2),ROUND('Per3'!G50*1.03,0))</f>
        <v>0</v>
      </c>
      <c r="H50" s="482"/>
      <c r="I50" s="6"/>
      <c r="J50" s="27"/>
      <c r="K50" s="209">
        <f t="shared" si="6"/>
        <v>0</v>
      </c>
      <c r="L50" s="7" t="str">
        <f t="shared" si="2"/>
        <v>-</v>
      </c>
      <c r="M50" s="19">
        <f t="shared" si="3"/>
        <v>0</v>
      </c>
      <c r="N50" s="19">
        <f t="shared" si="4"/>
        <v>0</v>
      </c>
      <c r="O50" s="8">
        <f t="shared" si="5"/>
        <v>0</v>
      </c>
      <c r="P50" s="30"/>
      <c r="Q50" s="14"/>
      <c r="S50" s="146"/>
    </row>
    <row r="51" spans="1:19" ht="13.5" hidden="1" customHeight="1" x14ac:dyDescent="0.2">
      <c r="A51" s="415"/>
      <c r="B51" s="383" t="str">
        <f>IF('Per3'!B51&lt;&gt;"",'Per3'!B51,"")</f>
        <v/>
      </c>
      <c r="C51" s="383"/>
      <c r="D51" s="60" t="str">
        <f>IF('Per3'!D51&lt;&gt;"",'Per3'!D51,"")</f>
        <v/>
      </c>
      <c r="E51" s="143" t="str">
        <f>'Per1'!E51</f>
        <v>Select</v>
      </c>
      <c r="F51" s="144" t="str">
        <f>'Per1'!F51</f>
        <v>Select One</v>
      </c>
      <c r="G51" s="481">
        <f>IF(E51="Hourly",ROUND('Per3'!G51*1.03,2),ROUND('Per3'!G51*1.03,0))</f>
        <v>0</v>
      </c>
      <c r="H51" s="482"/>
      <c r="I51" s="6"/>
      <c r="J51" s="27"/>
      <c r="K51" s="209">
        <f t="shared" si="6"/>
        <v>0</v>
      </c>
      <c r="L51" s="7" t="str">
        <f t="shared" si="2"/>
        <v>-</v>
      </c>
      <c r="M51" s="19">
        <f t="shared" si="3"/>
        <v>0</v>
      </c>
      <c r="N51" s="19">
        <f t="shared" si="4"/>
        <v>0</v>
      </c>
      <c r="O51" s="8">
        <f t="shared" si="5"/>
        <v>0</v>
      </c>
      <c r="P51" s="30"/>
      <c r="Q51" s="14"/>
      <c r="S51" s="146"/>
    </row>
    <row r="52" spans="1:19" ht="13.5" hidden="1" customHeight="1" x14ac:dyDescent="0.2">
      <c r="A52" s="415"/>
      <c r="B52" s="383" t="str">
        <f>IF('Per3'!B52&lt;&gt;"",'Per3'!B52,"")</f>
        <v/>
      </c>
      <c r="C52" s="383"/>
      <c r="D52" s="60" t="str">
        <f>IF('Per3'!D52&lt;&gt;"",'Per3'!D52,"")</f>
        <v/>
      </c>
      <c r="E52" s="143" t="str">
        <f>'Per1'!E52</f>
        <v>Select</v>
      </c>
      <c r="F52" s="144" t="str">
        <f>'Per1'!F52</f>
        <v>Select One</v>
      </c>
      <c r="G52" s="481">
        <f>IF(E52="Hourly",ROUND('Per3'!G52*1.03,2),ROUND('Per3'!G52*1.03,0))</f>
        <v>0</v>
      </c>
      <c r="H52" s="482"/>
      <c r="I52" s="6"/>
      <c r="J52" s="27"/>
      <c r="K52" s="209">
        <f t="shared" si="6"/>
        <v>0</v>
      </c>
      <c r="L52" s="7" t="str">
        <f t="shared" si="2"/>
        <v>-</v>
      </c>
      <c r="M52" s="19">
        <f t="shared" si="3"/>
        <v>0</v>
      </c>
      <c r="N52" s="19">
        <f t="shared" si="4"/>
        <v>0</v>
      </c>
      <c r="O52" s="8">
        <f t="shared" si="5"/>
        <v>0</v>
      </c>
      <c r="P52" s="30"/>
      <c r="Q52" s="14"/>
      <c r="S52" s="146"/>
    </row>
    <row r="53" spans="1:19" ht="13.5" hidden="1" customHeight="1" x14ac:dyDescent="0.2">
      <c r="A53" s="415"/>
      <c r="B53" s="383" t="str">
        <f>IF('Per3'!B53&lt;&gt;"",'Per3'!B53,"")</f>
        <v/>
      </c>
      <c r="C53" s="383"/>
      <c r="D53" s="60" t="str">
        <f>IF('Per3'!D53&lt;&gt;"",'Per3'!D53,"")</f>
        <v/>
      </c>
      <c r="E53" s="143" t="str">
        <f>'Per1'!E53</f>
        <v>Select</v>
      </c>
      <c r="F53" s="144" t="str">
        <f>'Per1'!F53</f>
        <v>Select One</v>
      </c>
      <c r="G53" s="481">
        <f>IF(E53="Hourly",ROUND('Per3'!G53*1.03,2),ROUND('Per3'!G53*1.03,0))</f>
        <v>0</v>
      </c>
      <c r="H53" s="482"/>
      <c r="I53" s="6"/>
      <c r="J53" s="27"/>
      <c r="K53" s="209">
        <f t="shared" si="6"/>
        <v>0</v>
      </c>
      <c r="L53" s="7" t="str">
        <f t="shared" si="2"/>
        <v>-</v>
      </c>
      <c r="M53" s="19">
        <f t="shared" si="3"/>
        <v>0</v>
      </c>
      <c r="N53" s="19">
        <f t="shared" si="4"/>
        <v>0</v>
      </c>
      <c r="O53" s="8">
        <f t="shared" si="5"/>
        <v>0</v>
      </c>
      <c r="P53" s="30"/>
      <c r="Q53" s="14"/>
      <c r="S53" s="146"/>
    </row>
    <row r="54" spans="1:19" ht="13.5" hidden="1" customHeight="1" x14ac:dyDescent="0.2">
      <c r="A54" s="415"/>
      <c r="B54" s="383" t="str">
        <f>IF('Per3'!B54&lt;&gt;"",'Per3'!B54,"")</f>
        <v/>
      </c>
      <c r="C54" s="383"/>
      <c r="D54" s="60" t="str">
        <f>IF('Per3'!D54&lt;&gt;"",'Per3'!D54,"")</f>
        <v/>
      </c>
      <c r="E54" s="143" t="str">
        <f>'Per1'!E54</f>
        <v>Select</v>
      </c>
      <c r="F54" s="144" t="str">
        <f>'Per1'!F54</f>
        <v>Select One</v>
      </c>
      <c r="G54" s="481">
        <f>IF(E54="Hourly",ROUND('Per3'!G54*1.03,2),ROUND('Per3'!G54*1.03,0))</f>
        <v>0</v>
      </c>
      <c r="H54" s="482"/>
      <c r="I54" s="6"/>
      <c r="J54" s="27"/>
      <c r="K54" s="209">
        <f t="shared" si="6"/>
        <v>0</v>
      </c>
      <c r="L54" s="7" t="str">
        <f t="shared" si="2"/>
        <v>-</v>
      </c>
      <c r="M54" s="19">
        <f t="shared" si="3"/>
        <v>0</v>
      </c>
      <c r="N54" s="19">
        <f t="shared" si="4"/>
        <v>0</v>
      </c>
      <c r="O54" s="8">
        <f t="shared" si="5"/>
        <v>0</v>
      </c>
      <c r="P54" s="30"/>
      <c r="Q54" s="14"/>
      <c r="S54" s="146"/>
    </row>
    <row r="55" spans="1:19" ht="13.5" hidden="1" customHeight="1" x14ac:dyDescent="0.2">
      <c r="A55" s="415"/>
      <c r="B55" s="383" t="str">
        <f>IF('Per3'!B55&lt;&gt;"",'Per3'!B55,"")</f>
        <v/>
      </c>
      <c r="C55" s="383"/>
      <c r="D55" s="60" t="str">
        <f>IF('Per3'!D55&lt;&gt;"",'Per3'!D55,"")</f>
        <v/>
      </c>
      <c r="E55" s="143" t="str">
        <f>'Per1'!E55</f>
        <v>Select</v>
      </c>
      <c r="F55" s="144" t="str">
        <f>'Per1'!F55</f>
        <v>Select One</v>
      </c>
      <c r="G55" s="481">
        <f>IF(E55="Hourly",ROUND('Per3'!G55*1.03,2),ROUND('Per3'!G55*1.03,0))</f>
        <v>0</v>
      </c>
      <c r="H55" s="482"/>
      <c r="I55" s="6"/>
      <c r="J55" s="27"/>
      <c r="K55" s="209">
        <f t="shared" si="6"/>
        <v>0</v>
      </c>
      <c r="L55" s="7" t="str">
        <f t="shared" si="2"/>
        <v>-</v>
      </c>
      <c r="M55" s="19">
        <f t="shared" si="3"/>
        <v>0</v>
      </c>
      <c r="N55" s="19">
        <f t="shared" si="4"/>
        <v>0</v>
      </c>
      <c r="O55" s="8">
        <f t="shared" si="5"/>
        <v>0</v>
      </c>
      <c r="P55" s="30"/>
      <c r="Q55" s="14"/>
      <c r="S55" s="146"/>
    </row>
    <row r="56" spans="1:19" ht="13.5" hidden="1" customHeight="1" x14ac:dyDescent="0.2">
      <c r="A56" s="415"/>
      <c r="B56" s="383" t="str">
        <f>IF('Per3'!B56&lt;&gt;"",'Per3'!B56,"")</f>
        <v/>
      </c>
      <c r="C56" s="383"/>
      <c r="D56" s="60" t="str">
        <f>IF('Per3'!D56&lt;&gt;"",'Per3'!D56,"")</f>
        <v/>
      </c>
      <c r="E56" s="143" t="str">
        <f>'Per1'!E56</f>
        <v>Select</v>
      </c>
      <c r="F56" s="144" t="str">
        <f>'Per1'!F56</f>
        <v>Select One</v>
      </c>
      <c r="G56" s="481">
        <f>IF(E56="Hourly",ROUND('Per3'!G56*1.03,2),ROUND('Per3'!G56*1.03,0))</f>
        <v>0</v>
      </c>
      <c r="H56" s="482"/>
      <c r="I56" s="6"/>
      <c r="J56" s="27"/>
      <c r="K56" s="209">
        <f t="shared" si="6"/>
        <v>0</v>
      </c>
      <c r="L56" s="7" t="str">
        <f t="shared" si="2"/>
        <v>-</v>
      </c>
      <c r="M56" s="19">
        <f t="shared" si="3"/>
        <v>0</v>
      </c>
      <c r="N56" s="19">
        <f t="shared" si="4"/>
        <v>0</v>
      </c>
      <c r="O56" s="8">
        <f t="shared" si="5"/>
        <v>0</v>
      </c>
      <c r="P56" s="30"/>
      <c r="Q56" s="14"/>
      <c r="S56" s="146"/>
    </row>
    <row r="57" spans="1:19" ht="13.5" hidden="1" customHeight="1" x14ac:dyDescent="0.2">
      <c r="A57" s="415"/>
      <c r="B57" s="383" t="str">
        <f>IF('Per3'!B57&lt;&gt;"",'Per3'!B57,"")</f>
        <v/>
      </c>
      <c r="C57" s="383"/>
      <c r="D57" s="60" t="str">
        <f>IF('Per3'!D57&lt;&gt;"",'Per3'!D57,"")</f>
        <v/>
      </c>
      <c r="E57" s="143" t="str">
        <f>'Per1'!E57</f>
        <v>Select</v>
      </c>
      <c r="F57" s="144" t="str">
        <f>'Per1'!F57</f>
        <v>Select One</v>
      </c>
      <c r="G57" s="481">
        <f>IF(E57="Hourly",ROUND('Per3'!G57*1.03,2),ROUND('Per3'!G57*1.03,0))</f>
        <v>0</v>
      </c>
      <c r="H57" s="482"/>
      <c r="I57" s="6"/>
      <c r="J57" s="27"/>
      <c r="K57" s="209">
        <f t="shared" si="6"/>
        <v>0</v>
      </c>
      <c r="L57" s="7" t="str">
        <f t="shared" si="2"/>
        <v>-</v>
      </c>
      <c r="M57" s="19">
        <f t="shared" si="3"/>
        <v>0</v>
      </c>
      <c r="N57" s="19">
        <f t="shared" si="4"/>
        <v>0</v>
      </c>
      <c r="O57" s="8">
        <f t="shared" si="5"/>
        <v>0</v>
      </c>
      <c r="P57" s="30"/>
      <c r="Q57" s="14"/>
      <c r="S57" s="146"/>
    </row>
    <row r="58" spans="1:19" ht="13.5" hidden="1" customHeight="1" x14ac:dyDescent="0.2">
      <c r="A58" s="415"/>
      <c r="B58" s="383" t="str">
        <f>IF('Per3'!B58&lt;&gt;"",'Per3'!B58,"")</f>
        <v/>
      </c>
      <c r="C58" s="383"/>
      <c r="D58" s="60" t="str">
        <f>IF('Per3'!D58&lt;&gt;"",'Per3'!D58,"")</f>
        <v/>
      </c>
      <c r="E58" s="143" t="str">
        <f>'Per1'!E58</f>
        <v>Select</v>
      </c>
      <c r="F58" s="144" t="str">
        <f>'Per1'!F58</f>
        <v>Select One</v>
      </c>
      <c r="G58" s="481">
        <f>IF(E58="Hourly",ROUND('Per3'!G58*1.03,2),ROUND('Per3'!G58*1.03,0))</f>
        <v>0</v>
      </c>
      <c r="H58" s="482"/>
      <c r="I58" s="6"/>
      <c r="J58" s="27"/>
      <c r="K58" s="209">
        <f t="shared" si="6"/>
        <v>0</v>
      </c>
      <c r="L58" s="7" t="str">
        <f t="shared" si="2"/>
        <v>-</v>
      </c>
      <c r="M58" s="19">
        <f t="shared" si="3"/>
        <v>0</v>
      </c>
      <c r="N58" s="19">
        <f t="shared" si="4"/>
        <v>0</v>
      </c>
      <c r="O58" s="8">
        <f t="shared" si="5"/>
        <v>0</v>
      </c>
      <c r="P58" s="30"/>
      <c r="Q58" s="14"/>
      <c r="S58" s="146"/>
    </row>
    <row r="59" spans="1:19" ht="13.5" hidden="1" customHeight="1" x14ac:dyDescent="0.2">
      <c r="A59" s="415"/>
      <c r="B59" s="383" t="str">
        <f>IF('Per3'!B59&lt;&gt;"",'Per3'!B59,"")</f>
        <v/>
      </c>
      <c r="C59" s="383"/>
      <c r="D59" s="60" t="str">
        <f>IF('Per3'!D59&lt;&gt;"",'Per3'!D59,"")</f>
        <v/>
      </c>
      <c r="E59" s="143" t="str">
        <f>'Per1'!E59</f>
        <v>Select</v>
      </c>
      <c r="F59" s="144" t="str">
        <f>'Per1'!F59</f>
        <v>Select One</v>
      </c>
      <c r="G59" s="481">
        <f>IF(E59="Hourly",ROUND('Per3'!G59*1.03,2),ROUND('Per3'!G59*1.03,0))</f>
        <v>0</v>
      </c>
      <c r="H59" s="482"/>
      <c r="I59" s="6"/>
      <c r="J59" s="27"/>
      <c r="K59" s="209">
        <f t="shared" si="6"/>
        <v>0</v>
      </c>
      <c r="L59" s="7" t="str">
        <f t="shared" si="2"/>
        <v>-</v>
      </c>
      <c r="M59" s="19">
        <f t="shared" si="3"/>
        <v>0</v>
      </c>
      <c r="N59" s="19">
        <f t="shared" si="4"/>
        <v>0</v>
      </c>
      <c r="O59" s="8">
        <f t="shared" si="5"/>
        <v>0</v>
      </c>
      <c r="P59" s="30"/>
      <c r="Q59" s="14"/>
      <c r="S59" s="146"/>
    </row>
    <row r="60" spans="1:19" ht="13.5" hidden="1" customHeight="1" x14ac:dyDescent="0.2">
      <c r="A60" s="415"/>
      <c r="B60" s="383" t="str">
        <f>IF('Per3'!B60&lt;&gt;"",'Per3'!B60,"")</f>
        <v/>
      </c>
      <c r="C60" s="383"/>
      <c r="D60" s="60" t="str">
        <f>IF('Per3'!D60&lt;&gt;"",'Per3'!D60,"")</f>
        <v/>
      </c>
      <c r="E60" s="143" t="str">
        <f>'Per1'!E60</f>
        <v>Select</v>
      </c>
      <c r="F60" s="144" t="str">
        <f>'Per1'!F60</f>
        <v>Select One</v>
      </c>
      <c r="G60" s="481">
        <f>IF(E60="Hourly",ROUND('Per3'!G60*1.03,2),ROUND('Per3'!G60*1.03,0))</f>
        <v>0</v>
      </c>
      <c r="H60" s="482"/>
      <c r="I60" s="6"/>
      <c r="J60" s="27"/>
      <c r="K60" s="209">
        <f t="shared" si="6"/>
        <v>0</v>
      </c>
      <c r="L60" s="7" t="str">
        <f t="shared" si="2"/>
        <v>-</v>
      </c>
      <c r="M60" s="19">
        <f t="shared" si="3"/>
        <v>0</v>
      </c>
      <c r="N60" s="19">
        <f t="shared" si="4"/>
        <v>0</v>
      </c>
      <c r="O60" s="8">
        <f t="shared" si="5"/>
        <v>0</v>
      </c>
      <c r="P60" s="30"/>
      <c r="Q60" s="14"/>
      <c r="S60" s="146"/>
    </row>
    <row r="61" spans="1:19" ht="13.5" hidden="1" customHeight="1" x14ac:dyDescent="0.2">
      <c r="A61" s="415"/>
      <c r="B61" s="383" t="str">
        <f>IF('Per3'!B61&lt;&gt;"",'Per3'!B61,"")</f>
        <v/>
      </c>
      <c r="C61" s="383"/>
      <c r="D61" s="60" t="str">
        <f>IF('Per3'!D61&lt;&gt;"",'Per3'!D61,"")</f>
        <v/>
      </c>
      <c r="E61" s="143" t="str">
        <f>'Per1'!E61</f>
        <v>Select</v>
      </c>
      <c r="F61" s="144" t="str">
        <f>'Per1'!F61</f>
        <v>Select One</v>
      </c>
      <c r="G61" s="481">
        <f>IF(E61="Hourly",ROUND('Per3'!G61*1.03,2),ROUND('Per3'!G61*1.03,0))</f>
        <v>0</v>
      </c>
      <c r="H61" s="482"/>
      <c r="I61" s="6"/>
      <c r="J61" s="27"/>
      <c r="K61" s="209">
        <f t="shared" si="6"/>
        <v>0</v>
      </c>
      <c r="L61" s="7" t="str">
        <f t="shared" si="2"/>
        <v>-</v>
      </c>
      <c r="M61" s="19">
        <f t="shared" si="3"/>
        <v>0</v>
      </c>
      <c r="N61" s="19">
        <f t="shared" si="4"/>
        <v>0</v>
      </c>
      <c r="O61" s="8">
        <f t="shared" si="5"/>
        <v>0</v>
      </c>
      <c r="P61" s="30"/>
      <c r="Q61" s="14"/>
      <c r="S61" s="146"/>
    </row>
    <row r="62" spans="1:19" ht="13.5" hidden="1" customHeight="1" x14ac:dyDescent="0.2">
      <c r="A62" s="415"/>
      <c r="B62" s="383" t="str">
        <f>IF('Per3'!B62&lt;&gt;"",'Per3'!B62,"")</f>
        <v/>
      </c>
      <c r="C62" s="383"/>
      <c r="D62" s="60" t="str">
        <f>IF('Per3'!D62&lt;&gt;"",'Per3'!D62,"")</f>
        <v/>
      </c>
      <c r="E62" s="143" t="str">
        <f>'Per1'!E62</f>
        <v>Select</v>
      </c>
      <c r="F62" s="144" t="str">
        <f>'Per1'!F62</f>
        <v>Select One</v>
      </c>
      <c r="G62" s="481">
        <f>IF(E62="Hourly",ROUND('Per3'!G62*1.03,2),ROUND('Per3'!G62*1.03,0))</f>
        <v>0</v>
      </c>
      <c r="H62" s="482"/>
      <c r="I62" s="6"/>
      <c r="J62" s="27"/>
      <c r="K62" s="209">
        <f t="shared" si="6"/>
        <v>0</v>
      </c>
      <c r="L62" s="7" t="str">
        <f t="shared" si="2"/>
        <v>-</v>
      </c>
      <c r="M62" s="19">
        <f t="shared" si="3"/>
        <v>0</v>
      </c>
      <c r="N62" s="19">
        <f t="shared" si="4"/>
        <v>0</v>
      </c>
      <c r="O62" s="8">
        <f t="shared" si="5"/>
        <v>0</v>
      </c>
      <c r="P62" s="30"/>
      <c r="Q62" s="14"/>
      <c r="S62" s="146"/>
    </row>
    <row r="63" spans="1:19" ht="13.5" hidden="1" customHeight="1" x14ac:dyDescent="0.2">
      <c r="A63" s="415"/>
      <c r="B63" s="383" t="str">
        <f>IF('Per3'!B63&lt;&gt;"",'Per3'!B63,"")</f>
        <v/>
      </c>
      <c r="C63" s="383"/>
      <c r="D63" s="60" t="str">
        <f>IF('Per3'!D63&lt;&gt;"",'Per3'!D63,"")</f>
        <v/>
      </c>
      <c r="E63" s="143" t="str">
        <f>'Per1'!E63</f>
        <v>Select</v>
      </c>
      <c r="F63" s="144" t="str">
        <f>'Per1'!F63</f>
        <v>Select One</v>
      </c>
      <c r="G63" s="481">
        <f>IF(E63="Hourly",ROUND('Per3'!G63*1.03,2),ROUND('Per3'!G63*1.03,0))</f>
        <v>0</v>
      </c>
      <c r="H63" s="482"/>
      <c r="I63" s="6"/>
      <c r="J63" s="27"/>
      <c r="K63" s="209">
        <f t="shared" si="6"/>
        <v>0</v>
      </c>
      <c r="L63" s="7" t="str">
        <f t="shared" si="2"/>
        <v>-</v>
      </c>
      <c r="M63" s="19">
        <f t="shared" si="3"/>
        <v>0</v>
      </c>
      <c r="N63" s="19">
        <f t="shared" si="4"/>
        <v>0</v>
      </c>
      <c r="O63" s="8">
        <f t="shared" si="5"/>
        <v>0</v>
      </c>
      <c r="P63" s="30"/>
      <c r="Q63" s="14"/>
      <c r="S63" s="146"/>
    </row>
    <row r="64" spans="1:19" ht="13.5" hidden="1" customHeight="1" x14ac:dyDescent="0.2">
      <c r="A64" s="415"/>
      <c r="B64" s="383" t="str">
        <f>IF('Per3'!B64&lt;&gt;"",'Per3'!B64,"")</f>
        <v/>
      </c>
      <c r="C64" s="383"/>
      <c r="D64" s="60" t="str">
        <f>IF('Per3'!D64&lt;&gt;"",'Per3'!D64,"")</f>
        <v/>
      </c>
      <c r="E64" s="143" t="str">
        <f>'Per1'!E64</f>
        <v>Select</v>
      </c>
      <c r="F64" s="144" t="str">
        <f>'Per1'!F64</f>
        <v>Select One</v>
      </c>
      <c r="G64" s="481">
        <f>IF(E64="Hourly",ROUND('Per3'!G64*1.03,2),ROUND('Per3'!G64*1.03,0))</f>
        <v>0</v>
      </c>
      <c r="H64" s="482"/>
      <c r="I64" s="6"/>
      <c r="J64" s="27"/>
      <c r="K64" s="209">
        <f t="shared" si="6"/>
        <v>0</v>
      </c>
      <c r="L64" s="7" t="str">
        <f t="shared" si="2"/>
        <v>-</v>
      </c>
      <c r="M64" s="19">
        <f t="shared" si="3"/>
        <v>0</v>
      </c>
      <c r="N64" s="19">
        <f t="shared" si="4"/>
        <v>0</v>
      </c>
      <c r="O64" s="8">
        <f t="shared" si="5"/>
        <v>0</v>
      </c>
      <c r="P64" s="30"/>
      <c r="S64" s="146"/>
    </row>
    <row r="65" spans="1:19" ht="13.5" hidden="1" customHeight="1" thickBot="1" x14ac:dyDescent="0.25">
      <c r="A65" s="415"/>
      <c r="B65" s="383" t="str">
        <f>IF('Per3'!B65&lt;&gt;"",'Per3'!B65,"")</f>
        <v/>
      </c>
      <c r="C65" s="383"/>
      <c r="D65" s="60" t="str">
        <f>IF('Per3'!D65&lt;&gt;"",'Per3'!D65,"")</f>
        <v/>
      </c>
      <c r="E65" s="143" t="str">
        <f>'Per1'!E65</f>
        <v>Select</v>
      </c>
      <c r="F65" s="144" t="str">
        <f>'Per1'!F65</f>
        <v>Select One</v>
      </c>
      <c r="G65" s="481">
        <f>IF(E65="Hourly",ROUND('Per3'!G65*1.03,2),ROUND('Per3'!G65*1.03,0))</f>
        <v>0</v>
      </c>
      <c r="H65" s="482"/>
      <c r="I65" s="6"/>
      <c r="J65" s="27"/>
      <c r="K65" s="209">
        <f t="shared" si="6"/>
        <v>0</v>
      </c>
      <c r="L65" s="7" t="str">
        <f t="shared" si="2"/>
        <v>-</v>
      </c>
      <c r="M65" s="19">
        <f t="shared" si="3"/>
        <v>0</v>
      </c>
      <c r="N65" s="19">
        <f t="shared" si="4"/>
        <v>0</v>
      </c>
      <c r="O65" s="8">
        <f t="shared" si="5"/>
        <v>0</v>
      </c>
      <c r="P65" s="30"/>
      <c r="S65" s="146"/>
    </row>
    <row r="66" spans="1:19" ht="13.5" customHeight="1" x14ac:dyDescent="0.2">
      <c r="A66" s="415"/>
      <c r="B66" s="504" t="s">
        <v>112</v>
      </c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121" t="s">
        <v>27</v>
      </c>
      <c r="O66" s="139">
        <f>SUM(O67:O68)</f>
        <v>0</v>
      </c>
      <c r="P66" s="147"/>
    </row>
    <row r="67" spans="1:19" ht="13.5" customHeight="1" x14ac:dyDescent="0.2">
      <c r="A67" s="415"/>
      <c r="B67" s="383" t="s">
        <v>113</v>
      </c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4"/>
      <c r="O67" s="11">
        <v>0</v>
      </c>
      <c r="P67" s="30"/>
    </row>
    <row r="68" spans="1:19" ht="13.5" customHeight="1" thickBot="1" x14ac:dyDescent="0.25">
      <c r="A68" s="415"/>
      <c r="B68" s="383" t="s">
        <v>114</v>
      </c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4"/>
      <c r="O68" s="22">
        <v>0</v>
      </c>
      <c r="P68" s="30"/>
    </row>
    <row r="69" spans="1:19" ht="13.5" customHeight="1" x14ac:dyDescent="0.2">
      <c r="A69" s="415"/>
      <c r="B69" s="504" t="s">
        <v>115</v>
      </c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121" t="s">
        <v>27</v>
      </c>
      <c r="O69" s="139">
        <f>SUM(O70,O77:O81)</f>
        <v>0</v>
      </c>
      <c r="P69" s="147"/>
    </row>
    <row r="70" spans="1:19" ht="13.5" customHeight="1" x14ac:dyDescent="0.2">
      <c r="A70" s="415"/>
      <c r="B70" s="523" t="s">
        <v>116</v>
      </c>
      <c r="C70" s="524"/>
      <c r="D70" s="524"/>
      <c r="E70" s="524"/>
      <c r="F70" s="524"/>
      <c r="G70" s="524"/>
      <c r="H70" s="524"/>
      <c r="I70" s="524"/>
      <c r="J70" s="524"/>
      <c r="K70" s="524"/>
      <c r="L70" s="524"/>
      <c r="M70" s="524"/>
      <c r="N70" s="524"/>
      <c r="O70" s="328">
        <f>SUM(N71:N76)</f>
        <v>0</v>
      </c>
      <c r="P70" s="30"/>
    </row>
    <row r="71" spans="1:19" ht="13.5" customHeight="1" x14ac:dyDescent="0.2">
      <c r="A71" s="415"/>
      <c r="B71" s="523" t="s">
        <v>117</v>
      </c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257">
        <v>0</v>
      </c>
      <c r="O71" s="322"/>
      <c r="P71" s="30"/>
    </row>
    <row r="72" spans="1:19" ht="13.5" customHeight="1" x14ac:dyDescent="0.2">
      <c r="A72" s="415"/>
      <c r="B72" s="382" t="s">
        <v>118</v>
      </c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4"/>
      <c r="N72" s="257">
        <v>0</v>
      </c>
      <c r="O72" s="322"/>
      <c r="P72" s="30"/>
    </row>
    <row r="73" spans="1:19" ht="13.5" customHeight="1" x14ac:dyDescent="0.2">
      <c r="A73" s="415"/>
      <c r="B73" s="523" t="s">
        <v>120</v>
      </c>
      <c r="C73" s="524"/>
      <c r="D73" s="524"/>
      <c r="E73" s="524"/>
      <c r="F73" s="524"/>
      <c r="G73" s="524"/>
      <c r="H73" s="524"/>
      <c r="I73" s="524"/>
      <c r="J73" s="524"/>
      <c r="K73" s="524"/>
      <c r="L73" s="524"/>
      <c r="M73" s="524"/>
      <c r="N73" s="257">
        <v>0</v>
      </c>
      <c r="O73" s="322"/>
      <c r="P73" s="30"/>
    </row>
    <row r="74" spans="1:19" ht="13.5" customHeight="1" x14ac:dyDescent="0.2">
      <c r="A74" s="415"/>
      <c r="B74" s="523" t="s">
        <v>121</v>
      </c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257">
        <v>0</v>
      </c>
      <c r="O74" s="322"/>
      <c r="P74" s="30"/>
    </row>
    <row r="75" spans="1:19" ht="13.5" customHeight="1" x14ac:dyDescent="0.2">
      <c r="A75" s="415"/>
      <c r="B75" s="523" t="s">
        <v>122</v>
      </c>
      <c r="C75" s="524"/>
      <c r="D75" s="524"/>
      <c r="E75" s="524"/>
      <c r="F75" s="524"/>
      <c r="G75" s="524"/>
      <c r="H75" s="524"/>
      <c r="I75" s="524"/>
      <c r="J75" s="524"/>
      <c r="K75" s="524"/>
      <c r="L75" s="524"/>
      <c r="M75" s="524"/>
      <c r="N75" s="257">
        <v>0</v>
      </c>
      <c r="O75" s="322"/>
      <c r="P75" s="30"/>
    </row>
    <row r="76" spans="1:19" ht="13.5" customHeight="1" x14ac:dyDescent="0.2">
      <c r="A76" s="415"/>
      <c r="B76" s="523" t="s">
        <v>123</v>
      </c>
      <c r="C76" s="524"/>
      <c r="D76" s="524"/>
      <c r="E76" s="524"/>
      <c r="F76" s="524"/>
      <c r="G76" s="524"/>
      <c r="H76" s="524"/>
      <c r="I76" s="524"/>
      <c r="J76" s="524"/>
      <c r="K76" s="524"/>
      <c r="L76" s="524"/>
      <c r="M76" s="524"/>
      <c r="N76" s="257">
        <v>0</v>
      </c>
      <c r="O76" s="322"/>
      <c r="P76" s="30"/>
    </row>
    <row r="77" spans="1:19" ht="13.5" customHeight="1" x14ac:dyDescent="0.2">
      <c r="A77" s="415"/>
      <c r="B77" s="523" t="s">
        <v>124</v>
      </c>
      <c r="C77" s="524"/>
      <c r="D77" s="524"/>
      <c r="E77" s="524"/>
      <c r="F77" s="524"/>
      <c r="G77" s="524"/>
      <c r="H77" s="524"/>
      <c r="I77" s="524"/>
      <c r="J77" s="524"/>
      <c r="K77" s="524"/>
      <c r="L77" s="524"/>
      <c r="M77" s="524"/>
      <c r="N77" s="524"/>
      <c r="O77" s="258">
        <v>0</v>
      </c>
      <c r="P77" s="30"/>
    </row>
    <row r="78" spans="1:19" ht="13.5" customHeight="1" x14ac:dyDescent="0.2">
      <c r="A78" s="415"/>
      <c r="B78" s="382" t="s">
        <v>125</v>
      </c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4"/>
      <c r="O78" s="258">
        <v>0</v>
      </c>
      <c r="P78" s="30"/>
      <c r="Q78" s="14" t="s">
        <v>127</v>
      </c>
    </row>
    <row r="79" spans="1:19" ht="13.5" customHeight="1" x14ac:dyDescent="0.2">
      <c r="A79" s="415"/>
      <c r="B79" s="523" t="s">
        <v>126</v>
      </c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258">
        <v>0</v>
      </c>
      <c r="P79" s="30"/>
    </row>
    <row r="80" spans="1:19" ht="13.5" customHeight="1" x14ac:dyDescent="0.2">
      <c r="A80" s="415"/>
      <c r="B80" s="523" t="s">
        <v>128</v>
      </c>
      <c r="C80" s="524"/>
      <c r="D80" s="524"/>
      <c r="E80" s="524"/>
      <c r="F80" s="524"/>
      <c r="G80" s="524"/>
      <c r="H80" s="524"/>
      <c r="I80" s="524"/>
      <c r="J80" s="524"/>
      <c r="K80" s="524"/>
      <c r="L80" s="524"/>
      <c r="M80" s="524"/>
      <c r="N80" s="524"/>
      <c r="O80" s="258">
        <v>0</v>
      </c>
      <c r="P80" s="30"/>
    </row>
    <row r="81" spans="1:17" ht="13.5" customHeight="1" thickBot="1" x14ac:dyDescent="0.25">
      <c r="A81" s="416"/>
      <c r="B81" s="564" t="s">
        <v>129</v>
      </c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16">
        <v>0</v>
      </c>
      <c r="P81" s="30"/>
      <c r="Q81" s="224" t="s">
        <v>199</v>
      </c>
    </row>
    <row r="82" spans="1:17" ht="18" customHeight="1" thickBot="1" x14ac:dyDescent="0.25">
      <c r="A82" s="540"/>
      <c r="B82" s="540"/>
      <c r="C82" s="540"/>
      <c r="D82" s="540"/>
      <c r="E82" s="540"/>
      <c r="F82" s="540"/>
      <c r="G82" s="540"/>
      <c r="H82" s="540"/>
      <c r="I82" s="540"/>
      <c r="J82" s="540"/>
      <c r="K82" s="540"/>
      <c r="L82" s="540"/>
      <c r="M82" s="540"/>
      <c r="N82" s="540"/>
      <c r="O82" s="540"/>
      <c r="P82" s="31"/>
      <c r="Q82" s="256" t="s">
        <v>130</v>
      </c>
    </row>
    <row r="83" spans="1:17" ht="13.5" customHeight="1" x14ac:dyDescent="0.2">
      <c r="A83" s="414" t="s">
        <v>131</v>
      </c>
      <c r="B83" s="495" t="s">
        <v>132</v>
      </c>
      <c r="C83" s="495"/>
      <c r="D83" s="495"/>
      <c r="E83" s="495"/>
      <c r="F83" s="495"/>
      <c r="G83" s="495"/>
      <c r="H83" s="495"/>
      <c r="I83" s="495"/>
      <c r="J83" s="495"/>
      <c r="K83" s="495"/>
      <c r="L83" s="495"/>
      <c r="M83" s="495"/>
      <c r="N83" s="121" t="s">
        <v>27</v>
      </c>
      <c r="O83" s="139">
        <f>SUM(O84:O86)</f>
        <v>0</v>
      </c>
      <c r="P83" s="147"/>
    </row>
    <row r="84" spans="1:17" ht="13.5" customHeight="1" x14ac:dyDescent="0.2">
      <c r="A84" s="415"/>
      <c r="B84" s="383" t="s">
        <v>133</v>
      </c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4"/>
      <c r="O84" s="15">
        <v>0</v>
      </c>
      <c r="P84" s="30"/>
    </row>
    <row r="85" spans="1:17" ht="13.5" customHeight="1" x14ac:dyDescent="0.2">
      <c r="A85" s="415"/>
      <c r="B85" s="383" t="s">
        <v>134</v>
      </c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4"/>
      <c r="O85" s="9">
        <v>0</v>
      </c>
      <c r="P85" s="30"/>
    </row>
    <row r="86" spans="1:17" ht="13.5" customHeight="1" thickBot="1" x14ac:dyDescent="0.25">
      <c r="A86" s="415"/>
      <c r="B86" s="501" t="s">
        <v>135</v>
      </c>
      <c r="C86" s="501"/>
      <c r="D86" s="501"/>
      <c r="E86" s="501"/>
      <c r="F86" s="501"/>
      <c r="G86" s="501"/>
      <c r="H86" s="501"/>
      <c r="I86" s="501"/>
      <c r="J86" s="501"/>
      <c r="K86" s="501"/>
      <c r="L86" s="501"/>
      <c r="M86" s="501"/>
      <c r="N86" s="502"/>
      <c r="O86" s="10">
        <v>0</v>
      </c>
      <c r="P86" s="30"/>
    </row>
    <row r="87" spans="1:17" ht="13.5" customHeight="1" x14ac:dyDescent="0.2">
      <c r="A87" s="415"/>
      <c r="B87" s="504" t="s">
        <v>136</v>
      </c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121" t="s">
        <v>27</v>
      </c>
      <c r="O87" s="139">
        <f>SUM(O88:O91)</f>
        <v>0</v>
      </c>
      <c r="P87" s="147"/>
    </row>
    <row r="88" spans="1:17" ht="13.5" customHeight="1" x14ac:dyDescent="0.2">
      <c r="A88" s="415"/>
      <c r="B88" s="506" t="s">
        <v>137</v>
      </c>
      <c r="C88" s="506"/>
      <c r="D88" s="506"/>
      <c r="E88" s="506"/>
      <c r="F88" s="506"/>
      <c r="G88" s="506"/>
      <c r="H88" s="506"/>
      <c r="I88" s="506"/>
      <c r="J88" s="506"/>
      <c r="K88" s="506"/>
      <c r="L88" s="506"/>
      <c r="M88" s="506"/>
      <c r="N88" s="507"/>
      <c r="O88" s="11">
        <v>0</v>
      </c>
      <c r="P88" s="30"/>
    </row>
    <row r="89" spans="1:17" ht="13.5" customHeight="1" x14ac:dyDescent="0.2">
      <c r="A89" s="415"/>
      <c r="B89" s="509" t="s">
        <v>138</v>
      </c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10"/>
      <c r="O89" s="13">
        <v>0</v>
      </c>
      <c r="P89" s="30"/>
      <c r="Q89" s="14" t="s">
        <v>139</v>
      </c>
    </row>
    <row r="90" spans="1:17" ht="13.5" customHeight="1" x14ac:dyDescent="0.2">
      <c r="A90" s="415"/>
      <c r="B90" s="383" t="s">
        <v>140</v>
      </c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4"/>
      <c r="O90" s="13">
        <v>0</v>
      </c>
      <c r="P90" s="30"/>
    </row>
    <row r="91" spans="1:17" ht="13.5" customHeight="1" thickBot="1" x14ac:dyDescent="0.25">
      <c r="A91" s="415"/>
      <c r="B91" s="501" t="s">
        <v>141</v>
      </c>
      <c r="C91" s="501"/>
      <c r="D91" s="501"/>
      <c r="E91" s="501"/>
      <c r="F91" s="501"/>
      <c r="G91" s="501"/>
      <c r="H91" s="501"/>
      <c r="I91" s="501"/>
      <c r="J91" s="501"/>
      <c r="K91" s="501"/>
      <c r="L91" s="501"/>
      <c r="M91" s="501"/>
      <c r="N91" s="502"/>
      <c r="O91" s="16">
        <v>0</v>
      </c>
      <c r="P91" s="30"/>
      <c r="Q91" s="14" t="s">
        <v>142</v>
      </c>
    </row>
    <row r="92" spans="1:17" ht="13.5" customHeight="1" x14ac:dyDescent="0.2">
      <c r="A92" s="415"/>
      <c r="B92" s="563" t="s">
        <v>143</v>
      </c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121" t="s">
        <v>27</v>
      </c>
      <c r="O92" s="148">
        <f>SUM(O93:O97)</f>
        <v>0</v>
      </c>
      <c r="P92" s="147"/>
    </row>
    <row r="93" spans="1:17" ht="13.5" customHeight="1" x14ac:dyDescent="0.2">
      <c r="A93" s="415"/>
      <c r="B93" s="388" t="s">
        <v>144</v>
      </c>
      <c r="C93" s="389"/>
      <c r="D93" s="389"/>
      <c r="E93" s="389"/>
      <c r="F93" s="389"/>
      <c r="G93" s="389"/>
      <c r="H93" s="389"/>
      <c r="I93" s="389"/>
      <c r="J93" s="389"/>
      <c r="K93" s="389"/>
      <c r="L93" s="389"/>
      <c r="M93" s="389"/>
      <c r="N93" s="390"/>
      <c r="O93" s="149">
        <v>0</v>
      </c>
      <c r="P93" s="147"/>
      <c r="Q93" s="14" t="s">
        <v>145</v>
      </c>
    </row>
    <row r="94" spans="1:17" ht="13.5" customHeight="1" x14ac:dyDescent="0.2">
      <c r="A94" s="415"/>
      <c r="B94" s="383" t="s">
        <v>146</v>
      </c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4"/>
      <c r="O94" s="13">
        <v>0</v>
      </c>
      <c r="P94" s="30"/>
    </row>
    <row r="95" spans="1:17" ht="13.5" customHeight="1" x14ac:dyDescent="0.2">
      <c r="A95" s="415"/>
      <c r="B95" s="383" t="s">
        <v>147</v>
      </c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4"/>
      <c r="O95" s="12">
        <v>0</v>
      </c>
      <c r="P95" s="30"/>
    </row>
    <row r="96" spans="1:17" ht="13.5" customHeight="1" x14ac:dyDescent="0.2">
      <c r="A96" s="415"/>
      <c r="B96" s="382" t="s">
        <v>148</v>
      </c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4"/>
      <c r="O96" s="12">
        <v>0</v>
      </c>
      <c r="P96" s="30"/>
    </row>
    <row r="97" spans="1:17" ht="13.5" customHeight="1" thickBot="1" x14ac:dyDescent="0.25">
      <c r="A97" s="415"/>
      <c r="B97" s="382" t="s">
        <v>149</v>
      </c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4"/>
      <c r="O97" s="12">
        <v>0</v>
      </c>
      <c r="P97" s="30"/>
    </row>
    <row r="98" spans="1:17" ht="18" customHeight="1" thickBot="1" x14ac:dyDescent="0.25">
      <c r="A98" s="18"/>
      <c r="B98" s="467"/>
      <c r="C98" s="467"/>
      <c r="D98" s="467"/>
      <c r="E98" s="467"/>
      <c r="F98" s="467"/>
      <c r="G98" s="467"/>
      <c r="H98" s="467"/>
      <c r="I98" s="467"/>
      <c r="J98" s="467"/>
      <c r="K98" s="467"/>
      <c r="L98" s="467"/>
      <c r="M98" s="467"/>
      <c r="N98" s="467"/>
      <c r="O98" s="467"/>
      <c r="P98" s="32"/>
    </row>
    <row r="99" spans="1:17" ht="13.5" customHeight="1" x14ac:dyDescent="0.2">
      <c r="A99" s="414" t="s">
        <v>150</v>
      </c>
      <c r="B99" s="469" t="s">
        <v>151</v>
      </c>
      <c r="C99" s="560"/>
      <c r="D99" s="560"/>
      <c r="E99" s="560"/>
      <c r="F99" s="560"/>
      <c r="G99" s="560"/>
      <c r="H99" s="560"/>
      <c r="I99" s="560"/>
      <c r="J99" s="560"/>
      <c r="K99" s="560"/>
      <c r="L99" s="560"/>
      <c r="M99" s="560"/>
      <c r="N99" s="36" t="s">
        <v>152</v>
      </c>
      <c r="O99" s="236">
        <f>J121</f>
        <v>0</v>
      </c>
      <c r="P99" s="30"/>
    </row>
    <row r="100" spans="1:17" ht="39" customHeight="1" x14ac:dyDescent="0.2">
      <c r="A100" s="415"/>
      <c r="B100" s="470" t="s">
        <v>153</v>
      </c>
      <c r="C100" s="21" t="s">
        <v>154</v>
      </c>
      <c r="D100" s="21"/>
      <c r="E100" s="21"/>
      <c r="F100" s="473" t="s">
        <v>155</v>
      </c>
      <c r="G100" s="474"/>
      <c r="H100" s="475" t="s">
        <v>156</v>
      </c>
      <c r="I100" s="475"/>
      <c r="J100" s="61" t="s">
        <v>157</v>
      </c>
      <c r="K100" s="242" t="s">
        <v>158</v>
      </c>
      <c r="L100" s="243" t="s">
        <v>159</v>
      </c>
      <c r="M100" s="244" t="s">
        <v>160</v>
      </c>
      <c r="N100" s="367" t="s">
        <v>161</v>
      </c>
      <c r="O100" s="368"/>
    </row>
    <row r="101" spans="1:17" ht="13.5" customHeight="1" x14ac:dyDescent="0.2">
      <c r="A101" s="415"/>
      <c r="B101" s="471"/>
      <c r="C101" s="372">
        <f>'Per1'!C101:E101</f>
        <v>0</v>
      </c>
      <c r="D101" s="373"/>
      <c r="E101" s="374"/>
      <c r="F101" s="393">
        <v>0</v>
      </c>
      <c r="G101" s="393"/>
      <c r="H101" s="393">
        <v>0</v>
      </c>
      <c r="I101" s="393"/>
      <c r="J101" s="330">
        <f>F101+H101</f>
        <v>0</v>
      </c>
      <c r="K101" s="245">
        <f>IF((J101+'Per1'!J101+'Per2'!J101+'Per3'!J101)&lt;=24999,J101, 25000-'Per1'!K101-'Per2'!K101-'Per3'!K101)</f>
        <v>0</v>
      </c>
      <c r="L101" s="331">
        <f>F101+H101-K101</f>
        <v>0</v>
      </c>
      <c r="M101" s="331">
        <f t="shared" ref="M101:M120" si="7">ROUND(IF(($L$7-VLOOKUP($G$123,$I$124:$K$142,3,FALSE))&lt;0,$K101,ROUND((1-($L$7-VLOOKUP($G$123,$I$124:$K$142,3,FALSE))/($L$7 +1 - $L$5))*$K101,0))*M$147,0) +ROUND(IF(($L$7-VLOOKUP($G$123,$I$124:$K$142,3,FALSE))&lt;0,0,ROUND(($L$7-VLOOKUP($G$123,$I$124:$K$142,3,FALSE))/($L$7 +1 - $L$5)*$K101,0))*M$148,0)</f>
        <v>0</v>
      </c>
      <c r="N101" s="365">
        <f>K101+L101+M101</f>
        <v>0</v>
      </c>
      <c r="O101" s="366"/>
    </row>
    <row r="102" spans="1:17" ht="13.5" customHeight="1" x14ac:dyDescent="0.2">
      <c r="A102" s="415"/>
      <c r="B102" s="471"/>
      <c r="C102" s="372">
        <f>'Per1'!C102:E102</f>
        <v>0</v>
      </c>
      <c r="D102" s="373"/>
      <c r="E102" s="374"/>
      <c r="F102" s="393">
        <v>0</v>
      </c>
      <c r="G102" s="393"/>
      <c r="H102" s="393">
        <v>0</v>
      </c>
      <c r="I102" s="393"/>
      <c r="J102" s="330">
        <f t="shared" ref="J102:J120" si="8">F102+H102</f>
        <v>0</v>
      </c>
      <c r="K102" s="245">
        <f>IF((J102+'Per1'!J102+'Per2'!J102+'Per3'!J102)&lt;=24999,J102, 25000-'Per1'!K102-'Per2'!K102-'Per3'!K102)</f>
        <v>0</v>
      </c>
      <c r="L102" s="331">
        <f>F102+H102-K102</f>
        <v>0</v>
      </c>
      <c r="M102" s="331">
        <f t="shared" si="7"/>
        <v>0</v>
      </c>
      <c r="N102" s="365">
        <f t="shared" ref="N102:N120" si="9">K102+L102+M102</f>
        <v>0</v>
      </c>
      <c r="O102" s="366"/>
    </row>
    <row r="103" spans="1:17" ht="13.5" customHeight="1" x14ac:dyDescent="0.2">
      <c r="A103" s="415"/>
      <c r="B103" s="471"/>
      <c r="C103" s="372">
        <f>'Per1'!C103:E103</f>
        <v>0</v>
      </c>
      <c r="D103" s="373"/>
      <c r="E103" s="374"/>
      <c r="F103" s="393">
        <v>0</v>
      </c>
      <c r="G103" s="393"/>
      <c r="H103" s="393">
        <v>0</v>
      </c>
      <c r="I103" s="393"/>
      <c r="J103" s="330">
        <f t="shared" si="8"/>
        <v>0</v>
      </c>
      <c r="K103" s="245">
        <f>IF((J103+'Per1'!J103+'Per2'!J103+'Per3'!J103)&lt;=24999,J103, 25000-'Per1'!K103-'Per2'!K103-'Per3'!K103)</f>
        <v>0</v>
      </c>
      <c r="L103" s="331">
        <f>F103+H103-K103</f>
        <v>0</v>
      </c>
      <c r="M103" s="331">
        <f t="shared" si="7"/>
        <v>0</v>
      </c>
      <c r="N103" s="365">
        <f t="shared" si="9"/>
        <v>0</v>
      </c>
      <c r="O103" s="366"/>
    </row>
    <row r="104" spans="1:17" ht="13.5" customHeight="1" x14ac:dyDescent="0.2">
      <c r="A104" s="415"/>
      <c r="B104" s="471"/>
      <c r="C104" s="372">
        <f>'Per1'!C104:E104</f>
        <v>0</v>
      </c>
      <c r="D104" s="373"/>
      <c r="E104" s="374"/>
      <c r="F104" s="393">
        <v>0</v>
      </c>
      <c r="G104" s="393"/>
      <c r="H104" s="393">
        <v>0</v>
      </c>
      <c r="I104" s="393"/>
      <c r="J104" s="330">
        <f t="shared" si="8"/>
        <v>0</v>
      </c>
      <c r="K104" s="245">
        <f>IF((J104+'Per1'!J104+'Per2'!J104+'Per3'!J104)&lt;=24999,J104, 25000-'Per1'!K104-'Per2'!K104-'Per3'!K104)</f>
        <v>0</v>
      </c>
      <c r="L104" s="331">
        <f>F104+H104-K104</f>
        <v>0</v>
      </c>
      <c r="M104" s="331">
        <f t="shared" si="7"/>
        <v>0</v>
      </c>
      <c r="N104" s="365">
        <f t="shared" si="9"/>
        <v>0</v>
      </c>
      <c r="O104" s="366"/>
    </row>
    <row r="105" spans="1:17" ht="13.5" customHeight="1" x14ac:dyDescent="0.2">
      <c r="A105" s="415"/>
      <c r="B105" s="471"/>
      <c r="C105" s="372">
        <f>'Per1'!C105:E105</f>
        <v>0</v>
      </c>
      <c r="D105" s="373"/>
      <c r="E105" s="374"/>
      <c r="F105" s="375">
        <v>0</v>
      </c>
      <c r="G105" s="375"/>
      <c r="H105" s="375">
        <v>0</v>
      </c>
      <c r="I105" s="375"/>
      <c r="J105" s="332">
        <f t="shared" si="8"/>
        <v>0</v>
      </c>
      <c r="K105" s="245">
        <f>IF((J105+'Per1'!J105+'Per2'!J105+'Per3'!J105)&lt;=24999,J105, 25000-'Per1'!K105-'Per2'!K105-'Per3'!K105)</f>
        <v>0</v>
      </c>
      <c r="L105" s="333">
        <f>F105+H105-K105</f>
        <v>0</v>
      </c>
      <c r="M105" s="331">
        <f t="shared" si="7"/>
        <v>0</v>
      </c>
      <c r="N105" s="561">
        <f t="shared" si="9"/>
        <v>0</v>
      </c>
      <c r="O105" s="562"/>
      <c r="Q105" s="224" t="s">
        <v>162</v>
      </c>
    </row>
    <row r="106" spans="1:17" ht="13.5" customHeight="1" thickBot="1" x14ac:dyDescent="0.25">
      <c r="A106" s="415"/>
      <c r="B106" s="471"/>
      <c r="C106" s="372">
        <f>'Per1'!C106:E106</f>
        <v>0</v>
      </c>
      <c r="D106" s="373"/>
      <c r="E106" s="374"/>
      <c r="F106" s="375">
        <v>0</v>
      </c>
      <c r="G106" s="375"/>
      <c r="H106" s="375">
        <v>0</v>
      </c>
      <c r="I106" s="375"/>
      <c r="J106" s="332">
        <f t="shared" si="8"/>
        <v>0</v>
      </c>
      <c r="K106" s="245">
        <f>IF((J106+'Per1'!J106+'Per2'!J106+'Per3'!J106)&lt;=24999,J106, 25000-'Per1'!K106-'Per2'!K106-'Per3'!K106)</f>
        <v>0</v>
      </c>
      <c r="L106" s="333">
        <f t="shared" ref="L106:L120" si="10">F106+H106-K106</f>
        <v>0</v>
      </c>
      <c r="M106" s="331">
        <f t="shared" si="7"/>
        <v>0</v>
      </c>
      <c r="N106" s="365">
        <f t="shared" si="9"/>
        <v>0</v>
      </c>
      <c r="O106" s="366"/>
    </row>
    <row r="107" spans="1:17" ht="13.5" hidden="1" customHeight="1" x14ac:dyDescent="0.2">
      <c r="A107" s="415"/>
      <c r="B107" s="471"/>
      <c r="C107" s="372">
        <f>'Per1'!C107:E107</f>
        <v>0</v>
      </c>
      <c r="D107" s="373"/>
      <c r="E107" s="374"/>
      <c r="F107" s="375">
        <v>0</v>
      </c>
      <c r="G107" s="375"/>
      <c r="H107" s="375">
        <v>0</v>
      </c>
      <c r="I107" s="375"/>
      <c r="J107" s="332">
        <f t="shared" si="8"/>
        <v>0</v>
      </c>
      <c r="K107" s="245">
        <f>IF((J107+'Per1'!J107+'Per2'!J107+'Per3'!J107)&lt;=24999,J107, 25000-'Per1'!K107-'Per2'!K107-'Per3'!K107)</f>
        <v>0</v>
      </c>
      <c r="L107" s="333">
        <f t="shared" si="10"/>
        <v>0</v>
      </c>
      <c r="M107" s="331">
        <f t="shared" si="7"/>
        <v>0</v>
      </c>
      <c r="N107" s="365">
        <f t="shared" si="9"/>
        <v>0</v>
      </c>
      <c r="O107" s="366"/>
    </row>
    <row r="108" spans="1:17" ht="13.5" hidden="1" customHeight="1" x14ac:dyDescent="0.2">
      <c r="A108" s="415"/>
      <c r="B108" s="471"/>
      <c r="C108" s="372">
        <f>'Per1'!C108:E108</f>
        <v>0</v>
      </c>
      <c r="D108" s="373"/>
      <c r="E108" s="374"/>
      <c r="F108" s="375">
        <v>0</v>
      </c>
      <c r="G108" s="375"/>
      <c r="H108" s="375">
        <v>0</v>
      </c>
      <c r="I108" s="375"/>
      <c r="J108" s="332">
        <f t="shared" si="8"/>
        <v>0</v>
      </c>
      <c r="K108" s="245">
        <f>IF((J108+'Per1'!J108+'Per2'!J108+'Per3'!J108)&lt;=24999,J108, 25000-'Per1'!K108-'Per2'!K108-'Per3'!K108)</f>
        <v>0</v>
      </c>
      <c r="L108" s="333">
        <f t="shared" si="10"/>
        <v>0</v>
      </c>
      <c r="M108" s="331">
        <f t="shared" si="7"/>
        <v>0</v>
      </c>
      <c r="N108" s="365">
        <f t="shared" si="9"/>
        <v>0</v>
      </c>
      <c r="O108" s="366"/>
    </row>
    <row r="109" spans="1:17" ht="13.5" hidden="1" customHeight="1" x14ac:dyDescent="0.2">
      <c r="A109" s="415"/>
      <c r="B109" s="471"/>
      <c r="C109" s="372">
        <f>'Per1'!C109:E109</f>
        <v>0</v>
      </c>
      <c r="D109" s="373"/>
      <c r="E109" s="374"/>
      <c r="F109" s="375">
        <v>0</v>
      </c>
      <c r="G109" s="375"/>
      <c r="H109" s="375">
        <v>0</v>
      </c>
      <c r="I109" s="375"/>
      <c r="J109" s="332">
        <f t="shared" si="8"/>
        <v>0</v>
      </c>
      <c r="K109" s="245">
        <f>IF((J109+'Per1'!J109+'Per2'!J109+'Per3'!J109)&lt;=24999,J109, 25000-'Per1'!K109-'Per2'!K109-'Per3'!K109)</f>
        <v>0</v>
      </c>
      <c r="L109" s="333">
        <f t="shared" si="10"/>
        <v>0</v>
      </c>
      <c r="M109" s="331">
        <f t="shared" si="7"/>
        <v>0</v>
      </c>
      <c r="N109" s="365">
        <f t="shared" si="9"/>
        <v>0</v>
      </c>
      <c r="O109" s="366"/>
    </row>
    <row r="110" spans="1:17" ht="13.5" hidden="1" customHeight="1" x14ac:dyDescent="0.2">
      <c r="A110" s="415"/>
      <c r="B110" s="471"/>
      <c r="C110" s="372">
        <f>'Per1'!C110:E110</f>
        <v>0</v>
      </c>
      <c r="D110" s="373"/>
      <c r="E110" s="374"/>
      <c r="F110" s="375">
        <v>0</v>
      </c>
      <c r="G110" s="375"/>
      <c r="H110" s="375">
        <v>0</v>
      </c>
      <c r="I110" s="375"/>
      <c r="J110" s="332">
        <f t="shared" si="8"/>
        <v>0</v>
      </c>
      <c r="K110" s="245">
        <f>IF((J110+'Per1'!J110+'Per2'!J110+'Per3'!J110)&lt;=24999,J110, 25000-'Per1'!K110-'Per2'!K110-'Per3'!K110)</f>
        <v>0</v>
      </c>
      <c r="L110" s="333">
        <f t="shared" si="10"/>
        <v>0</v>
      </c>
      <c r="M110" s="331">
        <f t="shared" si="7"/>
        <v>0</v>
      </c>
      <c r="N110" s="365">
        <f t="shared" si="9"/>
        <v>0</v>
      </c>
      <c r="O110" s="366"/>
    </row>
    <row r="111" spans="1:17" ht="13.5" hidden="1" customHeight="1" x14ac:dyDescent="0.2">
      <c r="A111" s="415"/>
      <c r="B111" s="471"/>
      <c r="C111" s="372">
        <f>'Per1'!C111:E111</f>
        <v>0</v>
      </c>
      <c r="D111" s="373"/>
      <c r="E111" s="374"/>
      <c r="F111" s="375">
        <v>0</v>
      </c>
      <c r="G111" s="375"/>
      <c r="H111" s="375">
        <v>0</v>
      </c>
      <c r="I111" s="375"/>
      <c r="J111" s="332">
        <f t="shared" si="8"/>
        <v>0</v>
      </c>
      <c r="K111" s="245">
        <f>IF((J111+'Per1'!J111+'Per2'!J111+'Per3'!J111)&lt;=24999,J111, 25000-'Per1'!K111-'Per2'!K111-'Per3'!K111)</f>
        <v>0</v>
      </c>
      <c r="L111" s="333">
        <f t="shared" si="10"/>
        <v>0</v>
      </c>
      <c r="M111" s="331">
        <f t="shared" si="7"/>
        <v>0</v>
      </c>
      <c r="N111" s="365">
        <f t="shared" si="9"/>
        <v>0</v>
      </c>
      <c r="O111" s="366"/>
    </row>
    <row r="112" spans="1:17" ht="13.5" hidden="1" customHeight="1" x14ac:dyDescent="0.2">
      <c r="A112" s="415"/>
      <c r="B112" s="471"/>
      <c r="C112" s="372">
        <f>'Per1'!C112:E112</f>
        <v>0</v>
      </c>
      <c r="D112" s="373"/>
      <c r="E112" s="374"/>
      <c r="F112" s="375">
        <v>0</v>
      </c>
      <c r="G112" s="375"/>
      <c r="H112" s="375">
        <v>0</v>
      </c>
      <c r="I112" s="375"/>
      <c r="J112" s="332">
        <f t="shared" si="8"/>
        <v>0</v>
      </c>
      <c r="K112" s="245">
        <f>IF((J112+'Per1'!J112+'Per2'!J112+'Per3'!J112)&lt;=24999,J112, 25000-'Per1'!K112-'Per2'!K112-'Per3'!K112)</f>
        <v>0</v>
      </c>
      <c r="L112" s="333">
        <f t="shared" si="10"/>
        <v>0</v>
      </c>
      <c r="M112" s="331">
        <f t="shared" si="7"/>
        <v>0</v>
      </c>
      <c r="N112" s="365">
        <f t="shared" si="9"/>
        <v>0</v>
      </c>
      <c r="O112" s="366"/>
    </row>
    <row r="113" spans="1:16" ht="13.5" hidden="1" customHeight="1" x14ac:dyDescent="0.2">
      <c r="A113" s="415"/>
      <c r="B113" s="471"/>
      <c r="C113" s="372">
        <f>'Per1'!C113:E113</f>
        <v>0</v>
      </c>
      <c r="D113" s="373"/>
      <c r="E113" s="374"/>
      <c r="F113" s="375">
        <v>0</v>
      </c>
      <c r="G113" s="375"/>
      <c r="H113" s="375">
        <v>0</v>
      </c>
      <c r="I113" s="375"/>
      <c r="J113" s="332">
        <f t="shared" si="8"/>
        <v>0</v>
      </c>
      <c r="K113" s="245">
        <f>IF((J113+'Per1'!J113+'Per2'!J113+'Per3'!J113)&lt;=24999,J113, 25000-'Per1'!K113-'Per2'!K113-'Per3'!K113)</f>
        <v>0</v>
      </c>
      <c r="L113" s="333">
        <f t="shared" si="10"/>
        <v>0</v>
      </c>
      <c r="M113" s="331">
        <f t="shared" si="7"/>
        <v>0</v>
      </c>
      <c r="N113" s="365">
        <f t="shared" si="9"/>
        <v>0</v>
      </c>
      <c r="O113" s="366"/>
    </row>
    <row r="114" spans="1:16" ht="13.5" hidden="1" customHeight="1" x14ac:dyDescent="0.2">
      <c r="A114" s="415"/>
      <c r="B114" s="471"/>
      <c r="C114" s="372">
        <f>'Per1'!C114:E114</f>
        <v>0</v>
      </c>
      <c r="D114" s="373"/>
      <c r="E114" s="374"/>
      <c r="F114" s="375">
        <v>0</v>
      </c>
      <c r="G114" s="375"/>
      <c r="H114" s="375">
        <v>0</v>
      </c>
      <c r="I114" s="375"/>
      <c r="J114" s="332">
        <f t="shared" si="8"/>
        <v>0</v>
      </c>
      <c r="K114" s="245">
        <f>IF((J114+'Per1'!J114+'Per2'!J114+'Per3'!J114)&lt;=24999,J114, 25000-'Per1'!K114-'Per2'!K114-'Per3'!K114)</f>
        <v>0</v>
      </c>
      <c r="L114" s="333">
        <f t="shared" si="10"/>
        <v>0</v>
      </c>
      <c r="M114" s="331">
        <f t="shared" si="7"/>
        <v>0</v>
      </c>
      <c r="N114" s="365">
        <f t="shared" si="9"/>
        <v>0</v>
      </c>
      <c r="O114" s="366"/>
    </row>
    <row r="115" spans="1:16" ht="13.5" hidden="1" customHeight="1" x14ac:dyDescent="0.2">
      <c r="A115" s="415"/>
      <c r="B115" s="471"/>
      <c r="C115" s="372">
        <f>'Per1'!C115:E115</f>
        <v>0</v>
      </c>
      <c r="D115" s="373"/>
      <c r="E115" s="374"/>
      <c r="F115" s="375">
        <v>0</v>
      </c>
      <c r="G115" s="375"/>
      <c r="H115" s="375">
        <v>0</v>
      </c>
      <c r="I115" s="375"/>
      <c r="J115" s="332">
        <f t="shared" si="8"/>
        <v>0</v>
      </c>
      <c r="K115" s="245">
        <f>IF((J115+'Per1'!J115+'Per2'!J115+'Per3'!J115)&lt;=24999,J115, 25000-'Per1'!K115-'Per2'!K115-'Per3'!K115)</f>
        <v>0</v>
      </c>
      <c r="L115" s="333">
        <f t="shared" si="10"/>
        <v>0</v>
      </c>
      <c r="M115" s="331">
        <f t="shared" si="7"/>
        <v>0</v>
      </c>
      <c r="N115" s="365">
        <f t="shared" si="9"/>
        <v>0</v>
      </c>
      <c r="O115" s="366"/>
    </row>
    <row r="116" spans="1:16" ht="13.5" hidden="1" customHeight="1" x14ac:dyDescent="0.2">
      <c r="A116" s="415"/>
      <c r="B116" s="471"/>
      <c r="C116" s="372">
        <f>'Per1'!C116:E116</f>
        <v>0</v>
      </c>
      <c r="D116" s="373"/>
      <c r="E116" s="374"/>
      <c r="F116" s="375">
        <v>0</v>
      </c>
      <c r="G116" s="375"/>
      <c r="H116" s="375">
        <v>0</v>
      </c>
      <c r="I116" s="375"/>
      <c r="J116" s="332">
        <f t="shared" si="8"/>
        <v>0</v>
      </c>
      <c r="K116" s="245">
        <f>IF((J116+'Per1'!J116+'Per2'!J116+'Per3'!J116)&lt;=24999,J116, 25000-'Per1'!K116-'Per2'!K116-'Per3'!K116)</f>
        <v>0</v>
      </c>
      <c r="L116" s="333">
        <f t="shared" si="10"/>
        <v>0</v>
      </c>
      <c r="M116" s="331">
        <f t="shared" si="7"/>
        <v>0</v>
      </c>
      <c r="N116" s="365">
        <f t="shared" si="9"/>
        <v>0</v>
      </c>
      <c r="O116" s="366"/>
    </row>
    <row r="117" spans="1:16" ht="13.5" hidden="1" customHeight="1" x14ac:dyDescent="0.2">
      <c r="A117" s="415"/>
      <c r="B117" s="471"/>
      <c r="C117" s="372">
        <f>'Per1'!C117:E117</f>
        <v>0</v>
      </c>
      <c r="D117" s="373"/>
      <c r="E117" s="374"/>
      <c r="F117" s="375">
        <v>0</v>
      </c>
      <c r="G117" s="375"/>
      <c r="H117" s="375">
        <v>0</v>
      </c>
      <c r="I117" s="375"/>
      <c r="J117" s="332">
        <f t="shared" si="8"/>
        <v>0</v>
      </c>
      <c r="K117" s="245">
        <f>IF((J117+'Per1'!J117+'Per2'!J117+'Per3'!J117)&lt;=24999,J117, 25000-'Per1'!K117-'Per2'!K117-'Per3'!K117)</f>
        <v>0</v>
      </c>
      <c r="L117" s="333">
        <f t="shared" si="10"/>
        <v>0</v>
      </c>
      <c r="M117" s="331">
        <f t="shared" si="7"/>
        <v>0</v>
      </c>
      <c r="N117" s="365">
        <f t="shared" si="9"/>
        <v>0</v>
      </c>
      <c r="O117" s="366"/>
    </row>
    <row r="118" spans="1:16" ht="13.5" hidden="1" customHeight="1" x14ac:dyDescent="0.2">
      <c r="A118" s="415"/>
      <c r="B118" s="471"/>
      <c r="C118" s="372">
        <f>'Per1'!C118:E118</f>
        <v>0</v>
      </c>
      <c r="D118" s="373"/>
      <c r="E118" s="374"/>
      <c r="F118" s="375">
        <v>0</v>
      </c>
      <c r="G118" s="375"/>
      <c r="H118" s="375">
        <v>0</v>
      </c>
      <c r="I118" s="375"/>
      <c r="J118" s="332">
        <f t="shared" si="8"/>
        <v>0</v>
      </c>
      <c r="K118" s="245">
        <f>IF((J118+'Per1'!J118+'Per2'!J118+'Per3'!J118)&lt;=24999,J118, 25000-'Per1'!K118-'Per2'!K118-'Per3'!K118)</f>
        <v>0</v>
      </c>
      <c r="L118" s="333">
        <f t="shared" si="10"/>
        <v>0</v>
      </c>
      <c r="M118" s="331">
        <f t="shared" si="7"/>
        <v>0</v>
      </c>
      <c r="N118" s="365">
        <f t="shared" si="9"/>
        <v>0</v>
      </c>
      <c r="O118" s="366"/>
    </row>
    <row r="119" spans="1:16" ht="13.5" hidden="1" customHeight="1" x14ac:dyDescent="0.2">
      <c r="A119" s="415"/>
      <c r="B119" s="471"/>
      <c r="C119" s="372">
        <f>'Per1'!C119:E119</f>
        <v>0</v>
      </c>
      <c r="D119" s="373"/>
      <c r="E119" s="374"/>
      <c r="F119" s="375">
        <v>0</v>
      </c>
      <c r="G119" s="375"/>
      <c r="H119" s="375">
        <v>0</v>
      </c>
      <c r="I119" s="375"/>
      <c r="J119" s="332">
        <f t="shared" si="8"/>
        <v>0</v>
      </c>
      <c r="K119" s="245">
        <f>IF((J119+'Per1'!J119+'Per2'!J119+'Per3'!J119)&lt;=24999,J119, 25000-'Per1'!K119-'Per2'!K119-'Per3'!K119)</f>
        <v>0</v>
      </c>
      <c r="L119" s="333">
        <f t="shared" si="10"/>
        <v>0</v>
      </c>
      <c r="M119" s="331">
        <f t="shared" si="7"/>
        <v>0</v>
      </c>
      <c r="N119" s="365">
        <f t="shared" si="9"/>
        <v>0</v>
      </c>
      <c r="O119" s="366"/>
    </row>
    <row r="120" spans="1:16" ht="13.5" hidden="1" customHeight="1" thickBot="1" x14ac:dyDescent="0.25">
      <c r="A120" s="415"/>
      <c r="B120" s="471"/>
      <c r="C120" s="372">
        <f>'Per1'!C120:E120</f>
        <v>0</v>
      </c>
      <c r="D120" s="373"/>
      <c r="E120" s="374"/>
      <c r="F120" s="375">
        <v>0</v>
      </c>
      <c r="G120" s="375"/>
      <c r="H120" s="375">
        <v>0</v>
      </c>
      <c r="I120" s="375"/>
      <c r="J120" s="332">
        <f t="shared" si="8"/>
        <v>0</v>
      </c>
      <c r="K120" s="245">
        <f>IF((J120+'Per1'!J120+'Per2'!J120+'Per3'!J120)&lt;=24999,J120, 25000-'Per1'!K120-'Per2'!K120-'Per3'!K120)</f>
        <v>0</v>
      </c>
      <c r="L120" s="333">
        <f t="shared" si="10"/>
        <v>0</v>
      </c>
      <c r="M120" s="331">
        <f t="shared" si="7"/>
        <v>0</v>
      </c>
      <c r="N120" s="479">
        <f t="shared" si="9"/>
        <v>0</v>
      </c>
      <c r="O120" s="480"/>
    </row>
    <row r="121" spans="1:16" ht="13.5" customHeight="1" thickBot="1" x14ac:dyDescent="0.25">
      <c r="A121" s="416"/>
      <c r="B121" s="472"/>
      <c r="C121" s="436" t="s">
        <v>163</v>
      </c>
      <c r="D121" s="436"/>
      <c r="E121" s="437"/>
      <c r="F121" s="379">
        <f>SUM(F101:G120)</f>
        <v>0</v>
      </c>
      <c r="G121" s="379"/>
      <c r="H121" s="379">
        <f>SUM(H101:I120)</f>
        <v>0</v>
      </c>
      <c r="I121" s="379"/>
      <c r="J121" s="334">
        <f>SUM(J101:J120)</f>
        <v>0</v>
      </c>
      <c r="K121" s="247">
        <f>SUM(K101:K120)</f>
        <v>0</v>
      </c>
      <c r="L121" s="335">
        <f>SUM(L101:L120)</f>
        <v>0</v>
      </c>
      <c r="M121" s="336">
        <f>SUM(M101:M120)</f>
        <v>0</v>
      </c>
      <c r="N121" s="248"/>
      <c r="O121" s="249"/>
    </row>
    <row r="122" spans="1:16" ht="18" hidden="1" customHeight="1" x14ac:dyDescent="0.2">
      <c r="A122" s="417"/>
      <c r="B122" s="417"/>
      <c r="C122" s="417"/>
      <c r="D122" s="417"/>
      <c r="E122" s="417"/>
      <c r="F122" s="417"/>
      <c r="G122" s="417"/>
      <c r="H122" s="417"/>
      <c r="I122" s="417"/>
      <c r="J122" s="417"/>
      <c r="K122" s="417"/>
      <c r="L122" s="417"/>
      <c r="M122" s="417"/>
      <c r="N122" s="396"/>
      <c r="O122" s="396"/>
      <c r="P122" s="31"/>
    </row>
    <row r="123" spans="1:16" ht="18" hidden="1" customHeight="1" x14ac:dyDescent="0.2">
      <c r="A123" s="218"/>
      <c r="B123" s="218"/>
      <c r="C123" s="218"/>
      <c r="D123" s="218"/>
      <c r="E123" s="218"/>
      <c r="F123" s="219" t="s">
        <v>164</v>
      </c>
      <c r="G123" s="218">
        <f>IF(MONTH(L5)&lt;9,YEAR(L5),YEAR(L5)+1)</f>
        <v>2028</v>
      </c>
      <c r="H123" s="218"/>
      <c r="I123" s="219" t="s">
        <v>165</v>
      </c>
      <c r="J123" s="219" t="s">
        <v>166</v>
      </c>
      <c r="K123" s="219" t="s">
        <v>167</v>
      </c>
      <c r="L123" s="124"/>
      <c r="M123" s="124"/>
      <c r="N123" s="124"/>
      <c r="O123" s="124"/>
      <c r="P123" s="31"/>
    </row>
    <row r="124" spans="1:16" ht="18" hidden="1" customHeight="1" x14ac:dyDescent="0.2">
      <c r="A124" s="218"/>
      <c r="B124" s="218"/>
      <c r="C124" s="218"/>
      <c r="D124" s="218"/>
      <c r="E124" s="218"/>
      <c r="F124" s="218"/>
      <c r="G124" s="218"/>
      <c r="H124" s="218"/>
      <c r="I124" s="218">
        <v>2018</v>
      </c>
      <c r="J124" s="218">
        <v>0.47</v>
      </c>
      <c r="K124" s="220">
        <f>DATE(I124,8,31)</f>
        <v>43343</v>
      </c>
      <c r="L124" s="124"/>
      <c r="M124" s="124"/>
      <c r="N124" s="124"/>
      <c r="O124" s="124"/>
      <c r="P124" s="31"/>
    </row>
    <row r="125" spans="1:16" ht="18" hidden="1" customHeight="1" x14ac:dyDescent="0.2">
      <c r="A125" s="218"/>
      <c r="B125" s="218"/>
      <c r="C125" s="218"/>
      <c r="D125" s="218"/>
      <c r="E125" s="218"/>
      <c r="F125" s="218"/>
      <c r="G125" s="218"/>
      <c r="H125" s="218"/>
      <c r="I125" s="218">
        <v>2019</v>
      </c>
      <c r="J125" s="218">
        <v>0.49</v>
      </c>
      <c r="K125" s="220">
        <f t="shared" ref="K125:K142" si="11">DATE(I125,8,31)</f>
        <v>43708</v>
      </c>
      <c r="L125" s="124"/>
      <c r="M125" s="124"/>
      <c r="N125" s="124"/>
      <c r="O125" s="124"/>
      <c r="P125" s="31"/>
    </row>
    <row r="126" spans="1:16" ht="18" hidden="1" customHeight="1" x14ac:dyDescent="0.2">
      <c r="A126" s="218"/>
      <c r="B126" s="218"/>
      <c r="C126" s="218"/>
      <c r="D126" s="218"/>
      <c r="E126" s="218"/>
      <c r="F126" s="218"/>
      <c r="G126" s="218"/>
      <c r="H126" s="218"/>
      <c r="I126" s="218">
        <v>2020</v>
      </c>
      <c r="J126" s="218">
        <v>0.495</v>
      </c>
      <c r="K126" s="220">
        <f t="shared" si="11"/>
        <v>44074</v>
      </c>
      <c r="L126" s="124"/>
      <c r="M126" s="124"/>
      <c r="N126" s="124"/>
      <c r="O126" s="124"/>
      <c r="P126" s="31"/>
    </row>
    <row r="127" spans="1:16" ht="18" hidden="1" customHeight="1" x14ac:dyDescent="0.2">
      <c r="A127" s="218"/>
      <c r="B127" s="218"/>
      <c r="C127" s="218"/>
      <c r="D127" s="218"/>
      <c r="E127" s="218"/>
      <c r="F127" s="218"/>
      <c r="G127" s="218"/>
      <c r="H127" s="218"/>
      <c r="I127" s="218">
        <v>2021</v>
      </c>
      <c r="J127" s="218">
        <v>0.5</v>
      </c>
      <c r="K127" s="220">
        <f t="shared" si="11"/>
        <v>44439</v>
      </c>
      <c r="L127" s="124"/>
      <c r="M127" s="124"/>
      <c r="N127" s="124"/>
      <c r="O127" s="124"/>
      <c r="P127" s="31"/>
    </row>
    <row r="128" spans="1:16" ht="18" hidden="1" customHeight="1" x14ac:dyDescent="0.2">
      <c r="A128" s="218"/>
      <c r="B128" s="218"/>
      <c r="C128" s="218"/>
      <c r="D128" s="218"/>
      <c r="E128" s="218"/>
      <c r="F128" s="218"/>
      <c r="G128" s="218"/>
      <c r="H128" s="218"/>
      <c r="I128" s="218">
        <v>2022</v>
      </c>
      <c r="J128" s="218">
        <v>0.5</v>
      </c>
      <c r="K128" s="220">
        <f t="shared" si="11"/>
        <v>44804</v>
      </c>
      <c r="L128" s="124"/>
      <c r="M128" s="124"/>
      <c r="N128" s="124"/>
      <c r="O128" s="124"/>
      <c r="P128" s="31"/>
    </row>
    <row r="129" spans="1:17" ht="18" hidden="1" customHeight="1" x14ac:dyDescent="0.2">
      <c r="A129" s="218"/>
      <c r="B129" s="218"/>
      <c r="C129" s="218"/>
      <c r="D129" s="218"/>
      <c r="E129" s="218"/>
      <c r="F129" s="218"/>
      <c r="G129" s="218"/>
      <c r="H129" s="218"/>
      <c r="I129" s="218">
        <v>2023</v>
      </c>
      <c r="J129" s="218">
        <v>0.5</v>
      </c>
      <c r="K129" s="220">
        <f t="shared" si="11"/>
        <v>45169</v>
      </c>
      <c r="L129" s="124"/>
      <c r="M129" s="124"/>
      <c r="N129" s="124"/>
      <c r="O129" s="124"/>
      <c r="P129" s="31"/>
    </row>
    <row r="130" spans="1:17" ht="18" hidden="1" customHeight="1" x14ac:dyDescent="0.2">
      <c r="A130" s="218"/>
      <c r="B130" s="218"/>
      <c r="C130" s="218"/>
      <c r="D130" s="218"/>
      <c r="E130" s="218"/>
      <c r="F130" s="218"/>
      <c r="G130" s="218"/>
      <c r="H130" s="218"/>
      <c r="I130" s="218">
        <v>2024</v>
      </c>
      <c r="J130" s="218">
        <v>0.5</v>
      </c>
      <c r="K130" s="220">
        <f t="shared" si="11"/>
        <v>45535</v>
      </c>
      <c r="L130" s="124"/>
      <c r="M130" s="124"/>
      <c r="N130" s="124"/>
      <c r="O130" s="124"/>
      <c r="P130" s="31"/>
    </row>
    <row r="131" spans="1:17" ht="18" hidden="1" customHeight="1" x14ac:dyDescent="0.2">
      <c r="A131" s="218"/>
      <c r="B131" s="218"/>
      <c r="C131" s="218"/>
      <c r="D131" s="218"/>
      <c r="E131" s="218"/>
      <c r="F131" s="218"/>
      <c r="G131" s="218"/>
      <c r="H131" s="218"/>
      <c r="I131" s="218">
        <v>2025</v>
      </c>
      <c r="J131" s="218">
        <v>0.5</v>
      </c>
      <c r="K131" s="220">
        <f t="shared" si="11"/>
        <v>45900</v>
      </c>
      <c r="L131" s="124"/>
      <c r="M131" s="124"/>
      <c r="N131" s="124"/>
      <c r="O131" s="124"/>
      <c r="P131" s="31"/>
    </row>
    <row r="132" spans="1:17" ht="18" hidden="1" customHeight="1" x14ac:dyDescent="0.2">
      <c r="A132" s="218"/>
      <c r="B132" s="218"/>
      <c r="C132" s="218"/>
      <c r="D132" s="218"/>
      <c r="E132" s="218"/>
      <c r="F132" s="218"/>
      <c r="G132" s="218"/>
      <c r="H132" s="218"/>
      <c r="I132" s="218">
        <v>2026</v>
      </c>
      <c r="J132" s="218">
        <v>0.5</v>
      </c>
      <c r="K132" s="220">
        <f t="shared" si="11"/>
        <v>46265</v>
      </c>
      <c r="L132" s="124"/>
      <c r="M132" s="124"/>
      <c r="N132" s="124"/>
      <c r="O132" s="124"/>
      <c r="P132" s="31"/>
    </row>
    <row r="133" spans="1:17" ht="18" hidden="1" customHeight="1" x14ac:dyDescent="0.2">
      <c r="A133" s="218"/>
      <c r="B133" s="218"/>
      <c r="C133" s="218"/>
      <c r="D133" s="218"/>
      <c r="E133" s="218"/>
      <c r="F133" s="218"/>
      <c r="G133" s="218"/>
      <c r="H133" s="218"/>
      <c r="I133" s="218">
        <v>2027</v>
      </c>
      <c r="J133" s="218">
        <v>0.5</v>
      </c>
      <c r="K133" s="220">
        <f t="shared" si="11"/>
        <v>46630</v>
      </c>
      <c r="L133" s="124"/>
      <c r="M133" s="124"/>
      <c r="N133" s="124"/>
      <c r="O133" s="124"/>
      <c r="P133" s="31"/>
    </row>
    <row r="134" spans="1:17" ht="18" hidden="1" customHeight="1" x14ac:dyDescent="0.2">
      <c r="A134" s="218"/>
      <c r="B134" s="218"/>
      <c r="C134" s="218"/>
      <c r="D134" s="218"/>
      <c r="E134" s="218"/>
      <c r="F134" s="218"/>
      <c r="G134" s="218"/>
      <c r="H134" s="218"/>
      <c r="I134" s="218">
        <v>2028</v>
      </c>
      <c r="J134" s="218">
        <v>0.5</v>
      </c>
      <c r="K134" s="220">
        <f t="shared" si="11"/>
        <v>46996</v>
      </c>
      <c r="L134" s="124"/>
      <c r="M134" s="124"/>
      <c r="N134" s="124"/>
      <c r="O134" s="124"/>
      <c r="P134" s="31"/>
    </row>
    <row r="135" spans="1:17" ht="18" hidden="1" customHeight="1" x14ac:dyDescent="0.2">
      <c r="A135" s="218"/>
      <c r="B135" s="218"/>
      <c r="C135" s="218"/>
      <c r="D135" s="218"/>
      <c r="E135" s="218"/>
      <c r="F135" s="218"/>
      <c r="G135" s="218"/>
      <c r="H135" s="218"/>
      <c r="I135" s="218">
        <v>2029</v>
      </c>
      <c r="J135" s="218">
        <v>0.5</v>
      </c>
      <c r="K135" s="220">
        <f t="shared" si="11"/>
        <v>47361</v>
      </c>
      <c r="L135" s="124"/>
      <c r="M135" s="124"/>
      <c r="N135" s="124"/>
      <c r="O135" s="124"/>
      <c r="P135" s="31"/>
    </row>
    <row r="136" spans="1:17" ht="18" hidden="1" customHeight="1" x14ac:dyDescent="0.2">
      <c r="A136" s="218"/>
      <c r="B136" s="218"/>
      <c r="C136" s="218"/>
      <c r="D136" s="218"/>
      <c r="E136" s="218"/>
      <c r="F136" s="218"/>
      <c r="G136" s="218"/>
      <c r="H136" s="218"/>
      <c r="I136" s="218">
        <v>2030</v>
      </c>
      <c r="J136" s="218">
        <v>0.5</v>
      </c>
      <c r="K136" s="220">
        <f t="shared" si="11"/>
        <v>47726</v>
      </c>
      <c r="L136" s="124"/>
      <c r="M136" s="124"/>
      <c r="N136" s="124"/>
      <c r="O136" s="124"/>
      <c r="P136" s="31"/>
    </row>
    <row r="137" spans="1:17" ht="18" hidden="1" customHeight="1" x14ac:dyDescent="0.2">
      <c r="A137" s="218"/>
      <c r="B137" s="218"/>
      <c r="C137" s="218"/>
      <c r="D137" s="218"/>
      <c r="E137" s="218"/>
      <c r="F137" s="218"/>
      <c r="G137" s="218"/>
      <c r="H137" s="218"/>
      <c r="I137" s="218">
        <v>2031</v>
      </c>
      <c r="J137" s="218">
        <v>0.5</v>
      </c>
      <c r="K137" s="220">
        <f t="shared" si="11"/>
        <v>48091</v>
      </c>
      <c r="L137" s="124"/>
      <c r="M137" s="124"/>
      <c r="N137" s="124"/>
      <c r="O137" s="124"/>
      <c r="P137" s="31"/>
    </row>
    <row r="138" spans="1:17" ht="18" hidden="1" customHeight="1" x14ac:dyDescent="0.2">
      <c r="A138" s="218"/>
      <c r="B138" s="218"/>
      <c r="C138" s="218"/>
      <c r="D138" s="218"/>
      <c r="E138" s="218"/>
      <c r="F138" s="218"/>
      <c r="G138" s="218"/>
      <c r="H138" s="218"/>
      <c r="I138" s="218">
        <v>2032</v>
      </c>
      <c r="J138" s="218">
        <v>0.5</v>
      </c>
      <c r="K138" s="220">
        <f t="shared" si="11"/>
        <v>48457</v>
      </c>
      <c r="L138" s="124"/>
      <c r="M138" s="124"/>
      <c r="N138" s="124"/>
      <c r="O138" s="124"/>
      <c r="P138" s="31"/>
    </row>
    <row r="139" spans="1:17" ht="18" hidden="1" customHeight="1" x14ac:dyDescent="0.2">
      <c r="A139" s="218"/>
      <c r="B139" s="218"/>
      <c r="C139" s="218"/>
      <c r="D139" s="218"/>
      <c r="E139" s="218"/>
      <c r="F139" s="218"/>
      <c r="G139" s="218"/>
      <c r="H139" s="218"/>
      <c r="I139" s="218">
        <v>2033</v>
      </c>
      <c r="J139" s="218">
        <v>0.5</v>
      </c>
      <c r="K139" s="220">
        <f t="shared" si="11"/>
        <v>48822</v>
      </c>
      <c r="L139" s="124"/>
      <c r="M139" s="124"/>
      <c r="N139" s="124"/>
      <c r="O139" s="124"/>
      <c r="P139" s="31"/>
    </row>
    <row r="140" spans="1:17" ht="18" hidden="1" customHeight="1" x14ac:dyDescent="0.2">
      <c r="A140" s="218"/>
      <c r="B140" s="218"/>
      <c r="C140" s="218"/>
      <c r="D140" s="218"/>
      <c r="E140" s="218"/>
      <c r="F140" s="218"/>
      <c r="G140" s="218"/>
      <c r="H140" s="218"/>
      <c r="I140" s="218">
        <v>2034</v>
      </c>
      <c r="J140" s="218">
        <v>0.5</v>
      </c>
      <c r="K140" s="220">
        <f t="shared" si="11"/>
        <v>49187</v>
      </c>
      <c r="L140" s="124"/>
      <c r="M140" s="124"/>
      <c r="N140" s="124"/>
      <c r="O140" s="124"/>
      <c r="P140" s="31"/>
    </row>
    <row r="141" spans="1:17" ht="18" hidden="1" customHeight="1" x14ac:dyDescent="0.2">
      <c r="A141" s="218"/>
      <c r="B141" s="218"/>
      <c r="C141" s="218"/>
      <c r="D141" s="218"/>
      <c r="E141" s="218"/>
      <c r="F141" s="218"/>
      <c r="G141" s="218"/>
      <c r="H141" s="218"/>
      <c r="I141" s="218">
        <v>2035</v>
      </c>
      <c r="J141" s="218">
        <v>0.5</v>
      </c>
      <c r="K141" s="220">
        <f t="shared" si="11"/>
        <v>49552</v>
      </c>
      <c r="L141" s="124"/>
      <c r="M141" s="124"/>
      <c r="N141" s="124"/>
      <c r="O141" s="124"/>
      <c r="P141" s="31"/>
    </row>
    <row r="142" spans="1:17" ht="18" hidden="1" customHeight="1" x14ac:dyDescent="0.2">
      <c r="A142" s="218"/>
      <c r="B142" s="218"/>
      <c r="C142" s="218"/>
      <c r="D142" s="218"/>
      <c r="E142" s="218"/>
      <c r="F142" s="218"/>
      <c r="G142" s="218"/>
      <c r="H142" s="218"/>
      <c r="I142" s="218">
        <v>2036</v>
      </c>
      <c r="J142" s="218">
        <v>0.5</v>
      </c>
      <c r="K142" s="220">
        <f t="shared" si="11"/>
        <v>49918</v>
      </c>
      <c r="L142" s="124"/>
      <c r="M142" s="124"/>
      <c r="N142" s="124"/>
      <c r="O142" s="124"/>
      <c r="P142" s="31"/>
    </row>
    <row r="143" spans="1:17" ht="18" customHeight="1" thickBot="1" x14ac:dyDescent="0.25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31"/>
    </row>
    <row r="144" spans="1:17" ht="13.5" customHeight="1" x14ac:dyDescent="0.2">
      <c r="A144" s="414" t="s">
        <v>168</v>
      </c>
      <c r="B144" s="534" t="s">
        <v>169</v>
      </c>
      <c r="C144" s="535"/>
      <c r="D144" s="535"/>
      <c r="E144" s="535"/>
      <c r="F144" s="536"/>
      <c r="G144" s="427" t="s">
        <v>170</v>
      </c>
      <c r="H144" s="428"/>
      <c r="I144" s="428"/>
      <c r="J144" s="428"/>
      <c r="K144" s="429"/>
      <c r="L144" s="464" t="s">
        <v>171</v>
      </c>
      <c r="M144" s="465"/>
      <c r="N144" s="466"/>
      <c r="O144" s="337">
        <f>O155-H121</f>
        <v>0</v>
      </c>
      <c r="P144" s="150"/>
      <c r="Q144" s="1" t="s">
        <v>172</v>
      </c>
    </row>
    <row r="145" spans="1:17" ht="13.5" customHeight="1" x14ac:dyDescent="0.2">
      <c r="A145" s="415"/>
      <c r="B145" s="537"/>
      <c r="C145" s="538"/>
      <c r="D145" s="538"/>
      <c r="E145" s="538"/>
      <c r="F145" s="539"/>
      <c r="G145" s="430"/>
      <c r="H145" s="431"/>
      <c r="I145" s="431"/>
      <c r="J145" s="431"/>
      <c r="K145" s="432"/>
      <c r="L145" s="476" t="s">
        <v>173</v>
      </c>
      <c r="M145" s="477"/>
      <c r="N145" s="478"/>
      <c r="O145" s="338">
        <f>H121</f>
        <v>0</v>
      </c>
      <c r="P145" s="150"/>
    </row>
    <row r="146" spans="1:17" ht="13.5" customHeight="1" x14ac:dyDescent="0.2">
      <c r="A146" s="415"/>
      <c r="B146" s="369" t="s">
        <v>174</v>
      </c>
      <c r="C146" s="370"/>
      <c r="D146" s="370"/>
      <c r="E146" s="370"/>
      <c r="F146" s="371"/>
      <c r="G146" s="430"/>
      <c r="H146" s="431"/>
      <c r="I146" s="431"/>
      <c r="J146" s="431"/>
      <c r="K146" s="432"/>
      <c r="L146" s="376" t="s">
        <v>175</v>
      </c>
      <c r="M146" s="377"/>
      <c r="N146" s="378"/>
      <c r="O146" s="339">
        <f>O155-O87-O83-O92-O99+K121</f>
        <v>0</v>
      </c>
      <c r="P146" s="150"/>
      <c r="Q146" s="225" t="s">
        <v>176</v>
      </c>
    </row>
    <row r="147" spans="1:17" ht="13.5" customHeight="1" x14ac:dyDescent="0.3">
      <c r="A147" s="415"/>
      <c r="B147" s="226"/>
      <c r="C147" s="118" t="s">
        <v>177</v>
      </c>
      <c r="D147" s="118"/>
      <c r="E147" s="118"/>
      <c r="F147" s="227">
        <v>0.5</v>
      </c>
      <c r="G147" s="430"/>
      <c r="H147" s="431"/>
      <c r="I147" s="431"/>
      <c r="J147" s="431"/>
      <c r="K147" s="432"/>
      <c r="L147" s="153" t="s">
        <v>178</v>
      </c>
      <c r="M147" s="113">
        <f>VLOOKUP($G$123,$I$124:$J$142,2,FALSE)</f>
        <v>0.5</v>
      </c>
      <c r="N147" s="250" t="s">
        <v>179</v>
      </c>
      <c r="O147" s="340">
        <f>IF($L$7-VLOOKUP($G$123,$I$124:$K$142,3,FALSE)&lt;0,$O$146,ROUND((1-($L$7-VLOOKUP($G$123,$I$124:$K$142,3,FALSE))/($L$7+1-$L$5))*$O$146,0))</f>
        <v>0</v>
      </c>
      <c r="P147" s="33"/>
      <c r="Q147" s="108"/>
    </row>
    <row r="148" spans="1:17" ht="13.5" customHeight="1" x14ac:dyDescent="0.3">
      <c r="A148" s="415"/>
      <c r="B148" s="226"/>
      <c r="C148" s="118" t="s">
        <v>180</v>
      </c>
      <c r="D148" s="118"/>
      <c r="E148" s="118"/>
      <c r="F148" s="227">
        <v>0.5</v>
      </c>
      <c r="G148" s="430"/>
      <c r="H148" s="431"/>
      <c r="I148" s="431"/>
      <c r="J148" s="431"/>
      <c r="K148" s="432"/>
      <c r="L148" s="154" t="s">
        <v>181</v>
      </c>
      <c r="M148" s="113">
        <f>VLOOKUP($G$123+1,$I$124:$J$142,2,FALSE)</f>
        <v>0.5</v>
      </c>
      <c r="N148" s="250" t="s">
        <v>182</v>
      </c>
      <c r="O148" s="340">
        <f>O146-O147</f>
        <v>0</v>
      </c>
      <c r="P148" s="33"/>
    </row>
    <row r="149" spans="1:17" ht="13.5" customHeight="1" x14ac:dyDescent="0.2">
      <c r="A149" s="415"/>
      <c r="B149" s="226"/>
      <c r="C149" s="118" t="s">
        <v>183</v>
      </c>
      <c r="D149" s="118"/>
      <c r="E149" s="118"/>
      <c r="F149" s="227">
        <v>0.36</v>
      </c>
      <c r="G149" s="430"/>
      <c r="H149" s="431"/>
      <c r="I149" s="431"/>
      <c r="J149" s="431"/>
      <c r="K149" s="432"/>
      <c r="L149" s="528" t="s">
        <v>184</v>
      </c>
      <c r="M149" s="529"/>
      <c r="N149" s="530"/>
      <c r="O149" s="341">
        <f>ROUND(M147*O147,0)</f>
        <v>0</v>
      </c>
      <c r="P149" s="155"/>
    </row>
    <row r="150" spans="1:17" ht="13.5" customHeight="1" x14ac:dyDescent="0.2">
      <c r="A150" s="415"/>
      <c r="B150" s="228"/>
      <c r="C150" s="229"/>
      <c r="D150" s="229"/>
      <c r="E150" s="229"/>
      <c r="F150" s="230"/>
      <c r="G150" s="433"/>
      <c r="H150" s="434"/>
      <c r="I150" s="434"/>
      <c r="J150" s="434"/>
      <c r="K150" s="435"/>
      <c r="L150" s="554" t="s">
        <v>185</v>
      </c>
      <c r="M150" s="555"/>
      <c r="N150" s="556"/>
      <c r="O150" s="342">
        <f>ROUND(M148*O148,0)</f>
        <v>0</v>
      </c>
      <c r="P150" s="155"/>
    </row>
    <row r="151" spans="1:17" ht="13.5" customHeight="1" x14ac:dyDescent="0.2">
      <c r="A151" s="415"/>
      <c r="B151" s="369" t="s">
        <v>186</v>
      </c>
      <c r="C151" s="370"/>
      <c r="D151" s="370"/>
      <c r="E151" s="370"/>
      <c r="F151" s="371"/>
      <c r="G151" s="545" t="s">
        <v>187</v>
      </c>
      <c r="H151" s="546"/>
      <c r="I151" s="546"/>
      <c r="J151" s="546"/>
      <c r="K151" s="546"/>
      <c r="L151" s="546"/>
      <c r="M151" s="546"/>
      <c r="N151" s="546"/>
      <c r="O151" s="547"/>
      <c r="P151" s="155"/>
    </row>
    <row r="152" spans="1:17" ht="13.5" customHeight="1" x14ac:dyDescent="0.2">
      <c r="A152" s="415"/>
      <c r="B152" s="226"/>
      <c r="C152" s="118" t="s">
        <v>188</v>
      </c>
      <c r="D152" s="118"/>
      <c r="E152" s="118"/>
      <c r="F152" s="227">
        <v>0.26</v>
      </c>
      <c r="G152" s="548"/>
      <c r="H152" s="549"/>
      <c r="I152" s="549"/>
      <c r="J152" s="549"/>
      <c r="K152" s="549"/>
      <c r="L152" s="549"/>
      <c r="M152" s="549"/>
      <c r="N152" s="549"/>
      <c r="O152" s="550"/>
      <c r="P152" s="155"/>
    </row>
    <row r="153" spans="1:17" ht="14.25" customHeight="1" thickBot="1" x14ac:dyDescent="0.25">
      <c r="A153" s="416"/>
      <c r="B153" s="226"/>
      <c r="C153" s="118"/>
      <c r="D153" s="118"/>
      <c r="E153" s="118"/>
      <c r="F153" s="227"/>
      <c r="G153" s="551"/>
      <c r="H153" s="552"/>
      <c r="I153" s="552"/>
      <c r="J153" s="552"/>
      <c r="K153" s="552"/>
      <c r="L153" s="552"/>
      <c r="M153" s="552"/>
      <c r="N153" s="552"/>
      <c r="O153" s="553"/>
      <c r="P153" s="155"/>
    </row>
    <row r="154" spans="1:17" ht="18" customHeight="1" thickBot="1" x14ac:dyDescent="0.25">
      <c r="A154" s="417"/>
      <c r="B154" s="417"/>
      <c r="C154" s="417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31"/>
    </row>
    <row r="155" spans="1:17" ht="17.100000000000001" customHeight="1" x14ac:dyDescent="0.25">
      <c r="A155" s="398" t="s">
        <v>189</v>
      </c>
      <c r="B155" s="399"/>
      <c r="C155" s="404" t="s">
        <v>190</v>
      </c>
      <c r="D155" s="405"/>
      <c r="E155" s="405"/>
      <c r="F155" s="410"/>
      <c r="G155" s="411"/>
      <c r="H155" s="17"/>
      <c r="I155" s="414" t="s">
        <v>191</v>
      </c>
      <c r="J155" s="438" t="str">
        <f>K3</f>
        <v>Period 4</v>
      </c>
      <c r="K155" s="453" t="s">
        <v>192</v>
      </c>
      <c r="L155" s="454"/>
      <c r="M155" s="454"/>
      <c r="N155" s="455"/>
      <c r="O155" s="343">
        <f>O37+O83+O66+O87+O69+O99+O92</f>
        <v>0</v>
      </c>
      <c r="P155" s="156"/>
    </row>
    <row r="156" spans="1:17" ht="17.100000000000001" customHeight="1" x14ac:dyDescent="0.25">
      <c r="A156" s="400"/>
      <c r="B156" s="401"/>
      <c r="C156" s="407"/>
      <c r="D156" s="408"/>
      <c r="E156" s="408"/>
      <c r="F156" s="412"/>
      <c r="G156" s="413"/>
      <c r="H156" s="17"/>
      <c r="I156" s="415"/>
      <c r="J156" s="439"/>
      <c r="K156" s="444" t="s">
        <v>193</v>
      </c>
      <c r="L156" s="445"/>
      <c r="M156" s="445"/>
      <c r="N156" s="446"/>
      <c r="O156" s="344">
        <f>O149+O150</f>
        <v>0</v>
      </c>
      <c r="P156" s="156"/>
      <c r="Q156" s="23"/>
    </row>
    <row r="157" spans="1:17" ht="17.100000000000001" customHeight="1" thickBot="1" x14ac:dyDescent="0.3">
      <c r="A157" s="402"/>
      <c r="B157" s="403"/>
      <c r="C157" s="441" t="s">
        <v>194</v>
      </c>
      <c r="D157" s="442"/>
      <c r="E157" s="443"/>
      <c r="F157" s="394" t="str">
        <f>IF(O158&lt;&gt;0,F155/O158,"-")</f>
        <v>-</v>
      </c>
      <c r="G157" s="395"/>
      <c r="H157" s="17"/>
      <c r="I157" s="415"/>
      <c r="J157" s="439"/>
      <c r="K157" s="447" t="s">
        <v>195</v>
      </c>
      <c r="L157" s="448"/>
      <c r="M157" s="448"/>
      <c r="N157" s="449"/>
      <c r="O157" s="345">
        <f>O155+O156</f>
        <v>0</v>
      </c>
      <c r="P157" s="156"/>
    </row>
    <row r="158" spans="1:17" ht="17.100000000000001" customHeight="1" thickBot="1" x14ac:dyDescent="0.3">
      <c r="A158" s="396"/>
      <c r="B158" s="396"/>
      <c r="C158" s="396"/>
      <c r="D158" s="396"/>
      <c r="E158" s="396"/>
      <c r="F158" s="396"/>
      <c r="G158" s="396"/>
      <c r="H158" s="397"/>
      <c r="I158" s="416"/>
      <c r="J158" s="440"/>
      <c r="K158" s="450" t="s">
        <v>196</v>
      </c>
      <c r="L158" s="451"/>
      <c r="M158" s="451"/>
      <c r="N158" s="452"/>
      <c r="O158" s="346">
        <f>O157+F155</f>
        <v>0</v>
      </c>
      <c r="P158" s="156"/>
    </row>
  </sheetData>
  <sheetProtection algorithmName="SHA-512" hashValue="GF6/r0eU2mKMUyOXUOzTSx8JwqPh1G8SkLU/QJTizIURyQ0SA0yV+lRcAMba+TCprRa0B7W9SW6N0/D7FyCKJQ==" saltValue="0bO++rI2gjroRonWeQQQ8g==" spinCount="100000" sheet="1" formatRows="0" insertRows="0"/>
  <mergeCells count="224">
    <mergeCell ref="A5:C6"/>
    <mergeCell ref="D5:F6"/>
    <mergeCell ref="K5:K6"/>
    <mergeCell ref="L5:L6"/>
    <mergeCell ref="A7:C10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D7:J10"/>
    <mergeCell ref="A36:O36"/>
    <mergeCell ref="A37:A81"/>
    <mergeCell ref="B38:C38"/>
    <mergeCell ref="G38:H38"/>
    <mergeCell ref="B39:C39"/>
    <mergeCell ref="G39:H39"/>
    <mergeCell ref="B40:C40"/>
    <mergeCell ref="G40:H40"/>
    <mergeCell ref="B41:C41"/>
    <mergeCell ref="B45:C45"/>
    <mergeCell ref="G45:H45"/>
    <mergeCell ref="B46:C46"/>
    <mergeCell ref="G46:H46"/>
    <mergeCell ref="B47:C47"/>
    <mergeCell ref="G47:H47"/>
    <mergeCell ref="G41:H41"/>
    <mergeCell ref="B42:C42"/>
    <mergeCell ref="G42:H42"/>
    <mergeCell ref="B43:C43"/>
    <mergeCell ref="G43:H43"/>
    <mergeCell ref="B44:C44"/>
    <mergeCell ref="G44:H44"/>
    <mergeCell ref="B51:C51"/>
    <mergeCell ref="G51:H51"/>
    <mergeCell ref="B52:C52"/>
    <mergeCell ref="G52:H52"/>
    <mergeCell ref="B53:C53"/>
    <mergeCell ref="G53:H53"/>
    <mergeCell ref="B48:C48"/>
    <mergeCell ref="G48:H48"/>
    <mergeCell ref="B49:C49"/>
    <mergeCell ref="G49:H49"/>
    <mergeCell ref="B50:C50"/>
    <mergeCell ref="G50:H50"/>
    <mergeCell ref="B57:C57"/>
    <mergeCell ref="G57:H57"/>
    <mergeCell ref="B58:C58"/>
    <mergeCell ref="G58:H58"/>
    <mergeCell ref="B59:C59"/>
    <mergeCell ref="G59:H59"/>
    <mergeCell ref="B54:C54"/>
    <mergeCell ref="G54:H54"/>
    <mergeCell ref="B55:C55"/>
    <mergeCell ref="G55:H55"/>
    <mergeCell ref="B56:C56"/>
    <mergeCell ref="G56:H56"/>
    <mergeCell ref="B63:C63"/>
    <mergeCell ref="G63:H63"/>
    <mergeCell ref="B64:C64"/>
    <mergeCell ref="G64:H64"/>
    <mergeCell ref="B65:C65"/>
    <mergeCell ref="G65:H65"/>
    <mergeCell ref="B60:C60"/>
    <mergeCell ref="G60:H60"/>
    <mergeCell ref="B61:C61"/>
    <mergeCell ref="G61:H61"/>
    <mergeCell ref="B62:C62"/>
    <mergeCell ref="G62:H62"/>
    <mergeCell ref="B70:N70"/>
    <mergeCell ref="B78:N78"/>
    <mergeCell ref="B79:N79"/>
    <mergeCell ref="B66:M66"/>
    <mergeCell ref="B67:N67"/>
    <mergeCell ref="B68:N68"/>
    <mergeCell ref="B69:M69"/>
    <mergeCell ref="B71:M71"/>
    <mergeCell ref="B72:M72"/>
    <mergeCell ref="B73:M73"/>
    <mergeCell ref="B74:M74"/>
    <mergeCell ref="B75:M75"/>
    <mergeCell ref="B76:M76"/>
    <mergeCell ref="B77:N77"/>
    <mergeCell ref="B89:N89"/>
    <mergeCell ref="B90:N90"/>
    <mergeCell ref="B91:N91"/>
    <mergeCell ref="B92:M92"/>
    <mergeCell ref="B93:N93"/>
    <mergeCell ref="B94:N94"/>
    <mergeCell ref="B80:N80"/>
    <mergeCell ref="B81:N81"/>
    <mergeCell ref="A82:O82"/>
    <mergeCell ref="A83:A97"/>
    <mergeCell ref="B83:M83"/>
    <mergeCell ref="B84:N84"/>
    <mergeCell ref="B85:N85"/>
    <mergeCell ref="B86:N86"/>
    <mergeCell ref="B87:M87"/>
    <mergeCell ref="B88:N88"/>
    <mergeCell ref="B95:N95"/>
    <mergeCell ref="B96:N96"/>
    <mergeCell ref="B97:N97"/>
    <mergeCell ref="C105:E105"/>
    <mergeCell ref="F105:G105"/>
    <mergeCell ref="H105:I105"/>
    <mergeCell ref="N105:O105"/>
    <mergeCell ref="C106:E106"/>
    <mergeCell ref="F106:G106"/>
    <mergeCell ref="H106:I106"/>
    <mergeCell ref="N106:O106"/>
    <mergeCell ref="B98:O98"/>
    <mergeCell ref="B99:M99"/>
    <mergeCell ref="B100:B121"/>
    <mergeCell ref="C103:E103"/>
    <mergeCell ref="F103:G103"/>
    <mergeCell ref="H103:I103"/>
    <mergeCell ref="N103:O103"/>
    <mergeCell ref="C104:E104"/>
    <mergeCell ref="F104:G104"/>
    <mergeCell ref="H104:I104"/>
    <mergeCell ref="N104:O104"/>
    <mergeCell ref="C101:E101"/>
    <mergeCell ref="F101:G101"/>
    <mergeCell ref="C109:E109"/>
    <mergeCell ref="F109:G109"/>
    <mergeCell ref="H109:I109"/>
    <mergeCell ref="N109:O109"/>
    <mergeCell ref="C110:E110"/>
    <mergeCell ref="F110:G110"/>
    <mergeCell ref="H110:I110"/>
    <mergeCell ref="N110:O110"/>
    <mergeCell ref="F107:G107"/>
    <mergeCell ref="H107:I107"/>
    <mergeCell ref="N107:O107"/>
    <mergeCell ref="C108:E108"/>
    <mergeCell ref="F108:G108"/>
    <mergeCell ref="H108:I108"/>
    <mergeCell ref="N108:O108"/>
    <mergeCell ref="C107:E107"/>
    <mergeCell ref="C114:E114"/>
    <mergeCell ref="F114:G114"/>
    <mergeCell ref="H114:I114"/>
    <mergeCell ref="N114:O114"/>
    <mergeCell ref="C111:E111"/>
    <mergeCell ref="F111:G111"/>
    <mergeCell ref="H111:I111"/>
    <mergeCell ref="N111:O111"/>
    <mergeCell ref="C112:E112"/>
    <mergeCell ref="F112:G112"/>
    <mergeCell ref="H112:I112"/>
    <mergeCell ref="N112:O112"/>
    <mergeCell ref="A99:A121"/>
    <mergeCell ref="H101:I101"/>
    <mergeCell ref="N101:O101"/>
    <mergeCell ref="C102:E102"/>
    <mergeCell ref="F102:G102"/>
    <mergeCell ref="H102:I102"/>
    <mergeCell ref="N102:O102"/>
    <mergeCell ref="C117:E117"/>
    <mergeCell ref="F117:G117"/>
    <mergeCell ref="H117:I117"/>
    <mergeCell ref="N117:O117"/>
    <mergeCell ref="C118:E118"/>
    <mergeCell ref="F118:G118"/>
    <mergeCell ref="H118:I118"/>
    <mergeCell ref="N118:O118"/>
    <mergeCell ref="C115:E115"/>
    <mergeCell ref="F115:G115"/>
    <mergeCell ref="H115:I115"/>
    <mergeCell ref="N115:O115"/>
    <mergeCell ref="C116:E116"/>
    <mergeCell ref="F116:G116"/>
    <mergeCell ref="H116:I116"/>
    <mergeCell ref="N116:O116"/>
    <mergeCell ref="C113:E113"/>
    <mergeCell ref="A144:A153"/>
    <mergeCell ref="B144:F144"/>
    <mergeCell ref="L144:N144"/>
    <mergeCell ref="B145:F145"/>
    <mergeCell ref="L145:N145"/>
    <mergeCell ref="A122:O122"/>
    <mergeCell ref="G144:K150"/>
    <mergeCell ref="L149:N149"/>
    <mergeCell ref="L150:N150"/>
    <mergeCell ref="G151:O153"/>
    <mergeCell ref="C157:E157"/>
    <mergeCell ref="F157:G157"/>
    <mergeCell ref="K157:N157"/>
    <mergeCell ref="A158:H158"/>
    <mergeCell ref="K158:N158"/>
    <mergeCell ref="A154:O154"/>
    <mergeCell ref="A155:B157"/>
    <mergeCell ref="C155:E156"/>
    <mergeCell ref="F155:G156"/>
    <mergeCell ref="I155:I158"/>
    <mergeCell ref="J155:J158"/>
    <mergeCell ref="F100:G100"/>
    <mergeCell ref="H100:I100"/>
    <mergeCell ref="N100:O100"/>
    <mergeCell ref="B146:F146"/>
    <mergeCell ref="B151:F151"/>
    <mergeCell ref="B37:J37"/>
    <mergeCell ref="K37:L37"/>
    <mergeCell ref="K155:N155"/>
    <mergeCell ref="K156:N156"/>
    <mergeCell ref="L146:N146"/>
    <mergeCell ref="C121:E121"/>
    <mergeCell ref="F121:G121"/>
    <mergeCell ref="H121:I121"/>
    <mergeCell ref="C119:E119"/>
    <mergeCell ref="F119:G119"/>
    <mergeCell ref="H119:I119"/>
    <mergeCell ref="N119:O119"/>
    <mergeCell ref="C120:E120"/>
    <mergeCell ref="F120:G120"/>
    <mergeCell ref="H120:I120"/>
    <mergeCell ref="N120:O120"/>
    <mergeCell ref="F113:G113"/>
    <mergeCell ref="H113:I113"/>
    <mergeCell ref="N113:O113"/>
  </mergeCells>
  <conditionalFormatting sqref="J39:J65">
    <cfRule type="expression" dxfId="6" priority="1">
      <formula>E39&lt;&gt;"Hourly"</formula>
    </cfRule>
  </conditionalFormatting>
  <dataValidations count="2">
    <dataValidation type="list" allowBlank="1" showInputMessage="1" showErrorMessage="1" sqref="F39:F65" xr:uid="{00000000-0002-0000-0500-000000000000}">
      <formula1>INDIRECT(E39)</formula1>
    </dataValidation>
    <dataValidation type="list" allowBlank="1" showInputMessage="1" showErrorMessage="1" sqref="E39:E65" xr:uid="{00000000-0002-0000-0500-000001000000}">
      <formula1>$B$12:$B$17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58"/>
  <sheetViews>
    <sheetView zoomScaleNormal="100" zoomScalePageLayoutView="85" workbookViewId="0">
      <selection activeCell="N6" sqref="N6:O10"/>
    </sheetView>
  </sheetViews>
  <sheetFormatPr defaultColWidth="8.7109375" defaultRowHeight="12.75" x14ac:dyDescent="0.2"/>
  <cols>
    <col min="1" max="2" width="4.28515625" style="1" customWidth="1"/>
    <col min="3" max="3" width="23.7109375" style="1" customWidth="1"/>
    <col min="4" max="4" width="9.7109375" style="1" customWidth="1"/>
    <col min="5" max="5" width="14.7109375" style="1" customWidth="1"/>
    <col min="6" max="6" width="18.7109375" style="1" customWidth="1"/>
    <col min="7" max="7" width="6.42578125" style="1" customWidth="1"/>
    <col min="8" max="8" width="9" style="1" customWidth="1"/>
    <col min="9" max="9" width="8.7109375" style="1" customWidth="1"/>
    <col min="10" max="10" width="11.7109375" style="2" customWidth="1"/>
    <col min="11" max="11" width="13" style="2" customWidth="1"/>
    <col min="12" max="13" width="12.7109375" style="1" customWidth="1"/>
    <col min="14" max="14" width="18" style="1" customWidth="1"/>
    <col min="15" max="15" width="17.28515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7109375" style="1"/>
  </cols>
  <sheetData>
    <row r="1" spans="1:18" s="3" customFormat="1" ht="22.15" customHeight="1" x14ac:dyDescent="0.2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126"/>
    </row>
    <row r="2" spans="1:18" s="3" customFormat="1" ht="35.25" customHeight="1" thickBot="1" x14ac:dyDescent="0.3">
      <c r="A2" s="512" t="s">
        <v>60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127"/>
    </row>
    <row r="3" spans="1:18" s="3" customFormat="1" ht="12" customHeight="1" x14ac:dyDescent="0.25">
      <c r="A3" s="514" t="s">
        <v>62</v>
      </c>
      <c r="B3" s="515"/>
      <c r="C3" s="515"/>
      <c r="D3" s="571">
        <f>'Per4'!D3</f>
        <v>0</v>
      </c>
      <c r="E3" s="571"/>
      <c r="F3" s="571"/>
      <c r="G3" s="349"/>
      <c r="H3" s="351"/>
      <c r="I3" s="351"/>
      <c r="J3" s="351"/>
      <c r="K3" s="460" t="s">
        <v>203</v>
      </c>
      <c r="L3" s="461"/>
      <c r="M3" s="516" t="s">
        <v>201</v>
      </c>
      <c r="N3" s="517"/>
      <c r="O3" s="518"/>
      <c r="P3" s="28"/>
      <c r="Q3" s="14" t="s">
        <v>66</v>
      </c>
    </row>
    <row r="4" spans="1:18" ht="18.600000000000001" customHeight="1" thickBot="1" x14ac:dyDescent="0.3">
      <c r="A4" s="483"/>
      <c r="B4" s="484"/>
      <c r="C4" s="484"/>
      <c r="D4" s="567"/>
      <c r="E4" s="567"/>
      <c r="F4" s="567"/>
      <c r="G4" s="352"/>
      <c r="H4" s="353"/>
      <c r="I4" s="353"/>
      <c r="J4" s="353"/>
      <c r="K4" s="462"/>
      <c r="L4" s="463"/>
      <c r="M4" s="519" t="s">
        <v>65</v>
      </c>
      <c r="N4" s="520"/>
      <c r="O4" s="521"/>
      <c r="P4" s="128"/>
      <c r="Q4" s="255" t="s">
        <v>71</v>
      </c>
    </row>
    <row r="5" spans="1:18" ht="18" customHeight="1" thickBot="1" x14ac:dyDescent="0.3">
      <c r="A5" s="483" t="s">
        <v>67</v>
      </c>
      <c r="B5" s="484"/>
      <c r="C5" s="484"/>
      <c r="D5" s="566">
        <f>'Per4'!D5</f>
        <v>0</v>
      </c>
      <c r="E5" s="566"/>
      <c r="F5" s="566"/>
      <c r="G5" s="169"/>
      <c r="H5" s="354"/>
      <c r="I5" s="354"/>
      <c r="J5" s="355"/>
      <c r="K5" s="459" t="s">
        <v>68</v>
      </c>
      <c r="L5" s="568">
        <f>'Per4'!L7+1</f>
        <v>46997</v>
      </c>
      <c r="M5" s="129"/>
      <c r="N5" s="130" t="s">
        <v>69</v>
      </c>
      <c r="O5" s="131" t="s">
        <v>70</v>
      </c>
      <c r="P5" s="132"/>
      <c r="Q5" s="14" t="s">
        <v>73</v>
      </c>
      <c r="R5" s="133"/>
    </row>
    <row r="6" spans="1:18" ht="12" customHeight="1" thickTop="1" x14ac:dyDescent="0.25">
      <c r="A6" s="483"/>
      <c r="B6" s="484"/>
      <c r="C6" s="484"/>
      <c r="D6" s="567"/>
      <c r="E6" s="567"/>
      <c r="F6" s="567"/>
      <c r="G6" s="352"/>
      <c r="H6" s="354"/>
      <c r="I6" s="354"/>
      <c r="J6" s="355"/>
      <c r="K6" s="459"/>
      <c r="L6" s="569"/>
      <c r="M6" s="134" t="s">
        <v>72</v>
      </c>
      <c r="N6" s="356">
        <v>1453.34</v>
      </c>
      <c r="O6" s="357">
        <v>726.68</v>
      </c>
      <c r="P6" s="135"/>
      <c r="Q6" s="1" t="s">
        <v>77</v>
      </c>
    </row>
    <row r="7" spans="1:18" ht="12" customHeight="1" x14ac:dyDescent="0.2">
      <c r="A7" s="483" t="s">
        <v>198</v>
      </c>
      <c r="B7" s="484"/>
      <c r="C7" s="484"/>
      <c r="D7" s="572">
        <f>'Per4'!D7</f>
        <v>0</v>
      </c>
      <c r="E7" s="572"/>
      <c r="F7" s="572"/>
      <c r="G7" s="572"/>
      <c r="H7" s="572"/>
      <c r="I7" s="572"/>
      <c r="J7" s="572"/>
      <c r="K7" s="459" t="s">
        <v>75</v>
      </c>
      <c r="L7" s="570">
        <f>EDATE(L5,12)-1</f>
        <v>47361</v>
      </c>
      <c r="M7" s="136" t="s">
        <v>76</v>
      </c>
      <c r="N7" s="358">
        <v>1041.9000000000001</v>
      </c>
      <c r="O7" s="359">
        <v>520.96</v>
      </c>
      <c r="P7" s="135"/>
    </row>
    <row r="8" spans="1:18" ht="12.75" customHeight="1" x14ac:dyDescent="0.2">
      <c r="A8" s="483"/>
      <c r="B8" s="484"/>
      <c r="C8" s="484"/>
      <c r="D8" s="572"/>
      <c r="E8" s="572"/>
      <c r="F8" s="572"/>
      <c r="G8" s="572"/>
      <c r="H8" s="572"/>
      <c r="I8" s="572"/>
      <c r="J8" s="572"/>
      <c r="K8" s="459"/>
      <c r="L8" s="569"/>
      <c r="M8" s="136" t="s">
        <v>78</v>
      </c>
      <c r="N8" s="358">
        <v>1189.2</v>
      </c>
      <c r="O8" s="359">
        <v>594.6</v>
      </c>
      <c r="P8" s="135"/>
    </row>
    <row r="9" spans="1:18" ht="12.75" customHeight="1" x14ac:dyDescent="0.25">
      <c r="A9" s="483"/>
      <c r="B9" s="484"/>
      <c r="C9" s="484"/>
      <c r="D9" s="572"/>
      <c r="E9" s="572"/>
      <c r="F9" s="572"/>
      <c r="G9" s="572"/>
      <c r="H9" s="572"/>
      <c r="I9" s="572"/>
      <c r="J9" s="572"/>
      <c r="K9" s="251"/>
      <c r="L9" s="252"/>
      <c r="M9" s="253" t="s">
        <v>79</v>
      </c>
      <c r="N9" s="360">
        <v>780.24</v>
      </c>
      <c r="O9" s="361">
        <v>390.12</v>
      </c>
      <c r="P9" s="135"/>
    </row>
    <row r="10" spans="1:18" ht="12" customHeight="1" thickBot="1" x14ac:dyDescent="0.3">
      <c r="A10" s="485"/>
      <c r="B10" s="486"/>
      <c r="C10" s="486"/>
      <c r="D10" s="573"/>
      <c r="E10" s="573"/>
      <c r="F10" s="573"/>
      <c r="G10" s="573"/>
      <c r="H10" s="573"/>
      <c r="I10" s="573"/>
      <c r="J10" s="573"/>
      <c r="K10" s="120"/>
      <c r="L10" s="26"/>
      <c r="M10" s="137" t="s">
        <v>80</v>
      </c>
      <c r="N10" s="362" t="s">
        <v>81</v>
      </c>
      <c r="O10" s="363">
        <v>746.09</v>
      </c>
      <c r="P10" s="135"/>
    </row>
    <row r="11" spans="1:18" ht="13.5" hidden="1" thickBot="1" x14ac:dyDescent="0.25">
      <c r="B11" s="210"/>
      <c r="C11" s="210"/>
      <c r="D11" s="210"/>
      <c r="E11" s="279" t="s">
        <v>82</v>
      </c>
      <c r="F11" s="305" t="s">
        <v>83</v>
      </c>
      <c r="G11" s="306" t="s">
        <v>84</v>
      </c>
      <c r="H11" s="307" t="s">
        <v>85</v>
      </c>
      <c r="I11" s="211" t="s">
        <v>86</v>
      </c>
      <c r="J11" s="308" t="s">
        <v>87</v>
      </c>
      <c r="K11" s="210"/>
      <c r="L11" s="210"/>
      <c r="M11" s="210"/>
      <c r="N11" s="210" t="s">
        <v>88</v>
      </c>
      <c r="O11" s="222">
        <v>0</v>
      </c>
      <c r="P11" s="138"/>
    </row>
    <row r="12" spans="1:18" hidden="1" x14ac:dyDescent="0.2">
      <c r="B12" s="279" t="s">
        <v>82</v>
      </c>
      <c r="C12" s="275">
        <f>1/900</f>
        <v>1.1111111111111111E-3</v>
      </c>
      <c r="D12" s="213"/>
      <c r="E12" s="287" t="s">
        <v>88</v>
      </c>
      <c r="F12" s="280" t="s">
        <v>88</v>
      </c>
      <c r="G12" s="297" t="s">
        <v>88</v>
      </c>
      <c r="H12" s="298" t="s">
        <v>88</v>
      </c>
      <c r="I12" s="210" t="s">
        <v>88</v>
      </c>
      <c r="J12" s="293" t="s">
        <v>88</v>
      </c>
      <c r="K12" s="279" t="str">
        <f>B12&amp;M6</f>
        <v>FT_BE_09Emp/Family</v>
      </c>
      <c r="L12" s="273">
        <f>N6</f>
        <v>1453.34</v>
      </c>
      <c r="M12" s="274">
        <v>0.18</v>
      </c>
      <c r="N12" s="275">
        <v>100</v>
      </c>
      <c r="O12" s="210"/>
    </row>
    <row r="13" spans="1:18" hidden="1" x14ac:dyDescent="0.2">
      <c r="B13" s="283" t="s">
        <v>83</v>
      </c>
      <c r="C13" s="282">
        <f>1/1200</f>
        <v>8.3333333333333339E-4</v>
      </c>
      <c r="D13" s="213"/>
      <c r="E13" s="309" t="s">
        <v>72</v>
      </c>
      <c r="F13" s="300" t="s">
        <v>72</v>
      </c>
      <c r="G13" s="301" t="s">
        <v>72</v>
      </c>
      <c r="H13" s="298" t="s">
        <v>89</v>
      </c>
      <c r="I13" s="210"/>
      <c r="J13" s="293" t="s">
        <v>89</v>
      </c>
      <c r="K13" s="287" t="str">
        <f>B12&amp;M7</f>
        <v>FT_BE_09Emp/Child</v>
      </c>
      <c r="L13" s="294">
        <f>N7</f>
        <v>1041.9000000000001</v>
      </c>
      <c r="M13" s="277">
        <v>0.18</v>
      </c>
      <c r="N13" s="278">
        <v>100</v>
      </c>
      <c r="O13" s="210"/>
    </row>
    <row r="14" spans="1:18" hidden="1" x14ac:dyDescent="0.2">
      <c r="B14" s="284" t="s">
        <v>84</v>
      </c>
      <c r="C14" s="286">
        <f>1/1200</f>
        <v>8.3333333333333339E-4</v>
      </c>
      <c r="D14" s="213"/>
      <c r="E14" s="309" t="s">
        <v>76</v>
      </c>
      <c r="F14" s="300" t="s">
        <v>76</v>
      </c>
      <c r="G14" s="301" t="s">
        <v>76</v>
      </c>
      <c r="H14" s="298"/>
      <c r="I14" s="210"/>
      <c r="J14" s="293"/>
      <c r="K14" s="287" t="str">
        <f>B12&amp;M8</f>
        <v>FT_BE_09Emp/Spouse</v>
      </c>
      <c r="L14" s="294">
        <f>N8</f>
        <v>1189.2</v>
      </c>
      <c r="M14" s="277">
        <v>0.18</v>
      </c>
      <c r="N14" s="278">
        <v>100</v>
      </c>
      <c r="O14" s="210"/>
    </row>
    <row r="15" spans="1:18" hidden="1" x14ac:dyDescent="0.2">
      <c r="B15" s="288" t="s">
        <v>85</v>
      </c>
      <c r="C15" s="290">
        <f>1/1200</f>
        <v>8.3333333333333339E-4</v>
      </c>
      <c r="D15" s="213"/>
      <c r="E15" s="309" t="s">
        <v>78</v>
      </c>
      <c r="F15" s="300" t="s">
        <v>78</v>
      </c>
      <c r="G15" s="301" t="s">
        <v>78</v>
      </c>
      <c r="H15" s="298"/>
      <c r="I15" s="210"/>
      <c r="J15" s="293"/>
      <c r="K15" s="287" t="str">
        <f>B12&amp;M9</f>
        <v>FT_BE_09Emp Only</v>
      </c>
      <c r="L15" s="294">
        <f>N9</f>
        <v>780.24</v>
      </c>
      <c r="M15" s="277">
        <v>0.18</v>
      </c>
      <c r="N15" s="278">
        <v>100</v>
      </c>
      <c r="O15" s="210"/>
    </row>
    <row r="16" spans="1:18" hidden="1" x14ac:dyDescent="0.2">
      <c r="B16" s="291" t="s">
        <v>87</v>
      </c>
      <c r="C16" s="293">
        <v>1</v>
      </c>
      <c r="D16" s="213"/>
      <c r="E16" s="310" t="s">
        <v>79</v>
      </c>
      <c r="F16" s="302" t="s">
        <v>79</v>
      </c>
      <c r="G16" s="303" t="s">
        <v>79</v>
      </c>
      <c r="H16" s="304"/>
      <c r="I16" s="29"/>
      <c r="J16" s="311"/>
      <c r="K16" s="283" t="str">
        <f>B13&amp;M6</f>
        <v>FT_BE_12Emp/Family</v>
      </c>
      <c r="L16" s="295">
        <f>N6</f>
        <v>1453.34</v>
      </c>
      <c r="M16" s="281">
        <v>0.18</v>
      </c>
      <c r="N16" s="282">
        <v>100</v>
      </c>
      <c r="O16" s="210"/>
    </row>
    <row r="17" spans="2:15" ht="13.5" hidden="1" thickBot="1" x14ac:dyDescent="0.25">
      <c r="B17" s="215" t="s">
        <v>86</v>
      </c>
      <c r="C17" s="216">
        <v>0</v>
      </c>
      <c r="D17" s="213"/>
      <c r="E17" s="287" t="s">
        <v>89</v>
      </c>
      <c r="F17" s="300" t="s">
        <v>89</v>
      </c>
      <c r="G17" s="301" t="s">
        <v>80</v>
      </c>
      <c r="H17" s="298"/>
      <c r="I17" s="210"/>
      <c r="J17" s="293"/>
      <c r="K17" s="283" t="str">
        <f>B13&amp;M7</f>
        <v>FT_BE_12Emp/Child</v>
      </c>
      <c r="L17" s="295">
        <f t="shared" ref="L17:L19" si="0">N7</f>
        <v>1041.9000000000001</v>
      </c>
      <c r="M17" s="281">
        <v>0.18</v>
      </c>
      <c r="N17" s="282">
        <v>100</v>
      </c>
      <c r="O17" s="210"/>
    </row>
    <row r="18" spans="2:15" ht="13.5" hidden="1" thickBot="1" x14ac:dyDescent="0.25">
      <c r="B18" s="210"/>
      <c r="C18" s="210"/>
      <c r="D18" s="210"/>
      <c r="E18" s="312"/>
      <c r="F18" s="313"/>
      <c r="G18" s="314" t="s">
        <v>89</v>
      </c>
      <c r="H18" s="315"/>
      <c r="I18" s="217"/>
      <c r="J18" s="316"/>
      <c r="K18" s="283" t="str">
        <f>B13&amp;M8</f>
        <v>FT_BE_12Emp/Spouse</v>
      </c>
      <c r="L18" s="295">
        <f t="shared" si="0"/>
        <v>1189.2</v>
      </c>
      <c r="M18" s="281">
        <v>0.18</v>
      </c>
      <c r="N18" s="282">
        <v>100</v>
      </c>
      <c r="O18" s="210"/>
    </row>
    <row r="19" spans="2:15" hidden="1" x14ac:dyDescent="0.2">
      <c r="B19" s="210"/>
      <c r="C19" s="210"/>
      <c r="D19" s="210"/>
      <c r="E19" s="210"/>
      <c r="F19" s="210"/>
      <c r="G19" s="210"/>
      <c r="H19" s="210"/>
      <c r="I19" s="210"/>
      <c r="J19" s="210"/>
      <c r="K19" s="283" t="str">
        <f>B13&amp;M9</f>
        <v>FT_BE_12Emp Only</v>
      </c>
      <c r="L19" s="295">
        <f t="shared" si="0"/>
        <v>780.24</v>
      </c>
      <c r="M19" s="281">
        <v>0.18</v>
      </c>
      <c r="N19" s="282">
        <v>100</v>
      </c>
      <c r="O19" s="210"/>
    </row>
    <row r="20" spans="2:15" hidden="1" x14ac:dyDescent="0.2">
      <c r="B20" s="210"/>
      <c r="C20" s="210"/>
      <c r="D20" s="210"/>
      <c r="E20" s="210"/>
      <c r="F20" s="210"/>
      <c r="G20" s="210"/>
      <c r="H20" s="210"/>
      <c r="I20" s="210"/>
      <c r="J20" s="210"/>
      <c r="K20" s="283" t="str">
        <f>B13&amp;F17</f>
        <v>FT_BE_12None</v>
      </c>
      <c r="L20" s="295">
        <v>0</v>
      </c>
      <c r="M20" s="281">
        <v>0.18</v>
      </c>
      <c r="N20" s="282">
        <v>0</v>
      </c>
      <c r="O20" s="210"/>
    </row>
    <row r="21" spans="2:15" hidden="1" x14ac:dyDescent="0.2">
      <c r="B21" s="210"/>
      <c r="C21" s="210"/>
      <c r="D21" s="210"/>
      <c r="E21" s="210"/>
      <c r="F21" s="210"/>
      <c r="G21" s="210"/>
      <c r="H21" s="210"/>
      <c r="I21" s="210"/>
      <c r="J21" s="210"/>
      <c r="K21" s="284" t="str">
        <f>B14&amp;M6</f>
        <v>PT_BE_12Emp/Family</v>
      </c>
      <c r="L21" s="296">
        <f>N6</f>
        <v>1453.34</v>
      </c>
      <c r="M21" s="285">
        <v>0.18</v>
      </c>
      <c r="N21" s="286">
        <v>50</v>
      </c>
      <c r="O21" s="210"/>
    </row>
    <row r="22" spans="2:15" hidden="1" x14ac:dyDescent="0.2">
      <c r="B22" s="210"/>
      <c r="C22" s="210"/>
      <c r="D22" s="210"/>
      <c r="E22" s="210"/>
      <c r="F22" s="210"/>
      <c r="G22" s="210"/>
      <c r="H22" s="210"/>
      <c r="I22" s="210"/>
      <c r="J22" s="210"/>
      <c r="K22" s="284" t="str">
        <f>B14&amp;M7</f>
        <v>PT_BE_12Emp/Child</v>
      </c>
      <c r="L22" s="296">
        <f t="shared" ref="L22:L24" si="1">N7</f>
        <v>1041.9000000000001</v>
      </c>
      <c r="M22" s="285">
        <v>0.18</v>
      </c>
      <c r="N22" s="286">
        <v>50</v>
      </c>
      <c r="O22" s="210"/>
    </row>
    <row r="23" spans="2:15" hidden="1" x14ac:dyDescent="0.2">
      <c r="B23" s="210"/>
      <c r="C23" s="210"/>
      <c r="D23" s="210"/>
      <c r="E23" s="210"/>
      <c r="F23" s="210"/>
      <c r="G23" s="210"/>
      <c r="H23" s="210"/>
      <c r="I23" s="210"/>
      <c r="J23" s="210"/>
      <c r="K23" s="284" t="str">
        <f>B14&amp;M8</f>
        <v>PT_BE_12Emp/Spouse</v>
      </c>
      <c r="L23" s="296">
        <f t="shared" si="1"/>
        <v>1189.2</v>
      </c>
      <c r="M23" s="285">
        <v>0.18</v>
      </c>
      <c r="N23" s="286">
        <v>50</v>
      </c>
      <c r="O23" s="210"/>
    </row>
    <row r="24" spans="2:15" hidden="1" x14ac:dyDescent="0.2">
      <c r="B24" s="210"/>
      <c r="C24" s="210"/>
      <c r="D24" s="210"/>
      <c r="E24" s="210"/>
      <c r="F24" s="210"/>
      <c r="G24" s="210"/>
      <c r="H24" s="210"/>
      <c r="I24" s="210"/>
      <c r="J24" s="210"/>
      <c r="K24" s="284" t="str">
        <f>B14&amp;M9</f>
        <v>PT_BE_12Emp Only</v>
      </c>
      <c r="L24" s="296">
        <f t="shared" si="1"/>
        <v>780.24</v>
      </c>
      <c r="M24" s="285">
        <v>0.18</v>
      </c>
      <c r="N24" s="286">
        <v>50</v>
      </c>
      <c r="O24" s="210"/>
    </row>
    <row r="25" spans="2:15" hidden="1" x14ac:dyDescent="0.2">
      <c r="B25" s="210"/>
      <c r="C25" s="210"/>
      <c r="D25" s="210"/>
      <c r="E25" s="210"/>
      <c r="F25" s="210"/>
      <c r="G25" s="210"/>
      <c r="H25" s="210"/>
      <c r="I25" s="210"/>
      <c r="J25" s="210"/>
      <c r="K25" s="284" t="str">
        <f>B14&amp;G17</f>
        <v>PT_BE_12Grad Res Asst</v>
      </c>
      <c r="L25" s="296">
        <f>O10</f>
        <v>746.09</v>
      </c>
      <c r="M25" s="285">
        <v>0.08</v>
      </c>
      <c r="N25" s="286">
        <v>100</v>
      </c>
      <c r="O25" s="210"/>
    </row>
    <row r="26" spans="2:15" hidden="1" x14ac:dyDescent="0.2">
      <c r="B26" s="210"/>
      <c r="C26" s="210"/>
      <c r="D26" s="210"/>
      <c r="E26" s="210"/>
      <c r="F26" s="210"/>
      <c r="G26" s="210"/>
      <c r="H26" s="210"/>
      <c r="I26" s="210"/>
      <c r="J26" s="210"/>
      <c r="K26" s="284" t="str">
        <f>B14&amp;G18</f>
        <v>PT_BE_12None</v>
      </c>
      <c r="L26" s="296">
        <v>0</v>
      </c>
      <c r="M26" s="285">
        <v>0.08</v>
      </c>
      <c r="N26" s="286">
        <v>0</v>
      </c>
      <c r="O26" s="210"/>
    </row>
    <row r="27" spans="2:15" hidden="1" x14ac:dyDescent="0.2">
      <c r="B27" s="210"/>
      <c r="C27" s="210"/>
      <c r="D27" s="210"/>
      <c r="E27" s="210"/>
      <c r="F27" s="210"/>
      <c r="G27" s="210"/>
      <c r="H27" s="210"/>
      <c r="I27" s="210"/>
      <c r="J27" s="210"/>
      <c r="K27" s="284" t="str">
        <f>B14&amp;G12</f>
        <v>PT_BE_12Select One</v>
      </c>
      <c r="L27" s="297">
        <v>0</v>
      </c>
      <c r="M27" s="285">
        <v>0</v>
      </c>
      <c r="N27" s="286">
        <v>0</v>
      </c>
      <c r="O27" s="210"/>
    </row>
    <row r="28" spans="2:15" hidden="1" x14ac:dyDescent="0.2">
      <c r="B28" s="210"/>
      <c r="C28" s="210"/>
      <c r="D28" s="210"/>
      <c r="E28" s="210"/>
      <c r="F28" s="210"/>
      <c r="G28" s="210"/>
      <c r="H28" s="210"/>
      <c r="I28" s="210"/>
      <c r="J28" s="210"/>
      <c r="K28" s="288" t="str">
        <f>B15&amp;H13</f>
        <v>PT_NB_12None</v>
      </c>
      <c r="L28" s="298">
        <v>0</v>
      </c>
      <c r="M28" s="289">
        <v>0.08</v>
      </c>
      <c r="N28" s="290">
        <v>0</v>
      </c>
      <c r="O28" s="210"/>
    </row>
    <row r="29" spans="2:15" hidden="1" x14ac:dyDescent="0.2">
      <c r="B29" s="210"/>
      <c r="C29" s="210"/>
      <c r="D29" s="210"/>
      <c r="E29" s="210"/>
      <c r="F29" s="210"/>
      <c r="G29" s="210"/>
      <c r="H29" s="210"/>
      <c r="I29" s="210"/>
      <c r="J29" s="210"/>
      <c r="K29" s="291" t="str">
        <f>B16&amp;J13</f>
        <v>HourlyNone</v>
      </c>
      <c r="L29" s="299">
        <v>0</v>
      </c>
      <c r="M29" s="292">
        <v>0.08</v>
      </c>
      <c r="N29" s="293">
        <v>0</v>
      </c>
      <c r="O29" s="210"/>
    </row>
    <row r="30" spans="2:15" hidden="1" x14ac:dyDescent="0.2">
      <c r="B30" s="210"/>
      <c r="C30" s="210"/>
      <c r="D30" s="210"/>
      <c r="E30" s="210"/>
      <c r="F30" s="210"/>
      <c r="G30" s="210"/>
      <c r="H30" s="210"/>
      <c r="I30" s="210"/>
      <c r="J30" s="210"/>
      <c r="K30" s="287" t="str">
        <f>B12&amp;E12</f>
        <v>FT_BE_09Select One</v>
      </c>
      <c r="L30" s="276">
        <v>0</v>
      </c>
      <c r="M30" s="277">
        <v>0</v>
      </c>
      <c r="N30" s="278">
        <v>0</v>
      </c>
      <c r="O30" s="210"/>
    </row>
    <row r="31" spans="2:15" hidden="1" x14ac:dyDescent="0.2">
      <c r="B31" s="210"/>
      <c r="C31" s="210"/>
      <c r="D31" s="210"/>
      <c r="E31" s="210"/>
      <c r="F31" s="210"/>
      <c r="G31" s="210"/>
      <c r="H31" s="210"/>
      <c r="I31" s="210"/>
      <c r="J31" s="210"/>
      <c r="K31" s="283" t="str">
        <f>B13&amp;F12</f>
        <v>FT_BE_12Select One</v>
      </c>
      <c r="L31" s="280">
        <v>0</v>
      </c>
      <c r="M31" s="281">
        <v>0</v>
      </c>
      <c r="N31" s="282">
        <v>0</v>
      </c>
      <c r="O31" s="210"/>
    </row>
    <row r="32" spans="2:15" hidden="1" x14ac:dyDescent="0.2">
      <c r="B32" s="210"/>
      <c r="C32" s="210"/>
      <c r="D32" s="210"/>
      <c r="E32" s="210"/>
      <c r="F32" s="210"/>
      <c r="G32" s="210"/>
      <c r="H32" s="210"/>
      <c r="I32" s="210"/>
      <c r="J32" s="210"/>
      <c r="K32" s="287" t="str">
        <f>B12&amp;E17</f>
        <v>FT_BE_09None</v>
      </c>
      <c r="L32" s="276">
        <v>0</v>
      </c>
      <c r="M32" s="277">
        <v>0.18</v>
      </c>
      <c r="N32" s="278">
        <v>0</v>
      </c>
      <c r="O32" s="210"/>
    </row>
    <row r="33" spans="1:19" hidden="1" x14ac:dyDescent="0.2">
      <c r="B33" s="210"/>
      <c r="C33" s="210"/>
      <c r="D33" s="210"/>
      <c r="E33" s="210"/>
      <c r="F33" s="210"/>
      <c r="G33" s="210"/>
      <c r="H33" s="210"/>
      <c r="I33" s="210"/>
      <c r="J33" s="210"/>
      <c r="K33" s="288" t="str">
        <f>B15&amp;H12</f>
        <v>PT_NB_12Select One</v>
      </c>
      <c r="L33" s="298">
        <v>0</v>
      </c>
      <c r="M33" s="289">
        <v>0</v>
      </c>
      <c r="N33" s="290">
        <v>0</v>
      </c>
      <c r="O33" s="210"/>
    </row>
    <row r="34" spans="1:19" hidden="1" x14ac:dyDescent="0.2">
      <c r="B34" s="210"/>
      <c r="C34" s="210"/>
      <c r="D34" s="210"/>
      <c r="E34" s="210"/>
      <c r="F34" s="210"/>
      <c r="G34" s="210"/>
      <c r="H34" s="210"/>
      <c r="I34" s="210"/>
      <c r="J34" s="210"/>
      <c r="K34" s="291" t="str">
        <f>B16&amp;J12</f>
        <v>HourlySelect One</v>
      </c>
      <c r="L34" s="299">
        <v>0</v>
      </c>
      <c r="M34" s="292">
        <v>0</v>
      </c>
      <c r="N34" s="293">
        <v>0</v>
      </c>
      <c r="O34" s="210"/>
    </row>
    <row r="35" spans="1:19" ht="13.5" hidden="1" thickBot="1" x14ac:dyDescent="0.25">
      <c r="B35" s="210"/>
      <c r="C35" s="210"/>
      <c r="D35" s="210"/>
      <c r="E35" s="210"/>
      <c r="F35" s="210"/>
      <c r="G35" s="210"/>
      <c r="H35" s="210"/>
      <c r="I35" s="210"/>
      <c r="J35" s="210"/>
      <c r="K35" s="215" t="str">
        <f>B17&amp;I12</f>
        <v>SelectSelect One</v>
      </c>
      <c r="L35" s="217"/>
      <c r="M35" s="317"/>
      <c r="N35" s="216"/>
      <c r="O35" s="210"/>
    </row>
    <row r="36" spans="1:19" ht="18" customHeight="1" thickBot="1" x14ac:dyDescent="0.25">
      <c r="A36" s="490"/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</row>
    <row r="37" spans="1:19" ht="13.5" customHeight="1" x14ac:dyDescent="0.2">
      <c r="A37" s="414" t="s">
        <v>90</v>
      </c>
      <c r="B37" s="494" t="s">
        <v>91</v>
      </c>
      <c r="C37" s="495"/>
      <c r="D37" s="495"/>
      <c r="E37" s="495"/>
      <c r="F37" s="495"/>
      <c r="G37" s="495"/>
      <c r="H37" s="495"/>
      <c r="I37" s="495"/>
      <c r="J37" s="495"/>
      <c r="K37" s="496" t="s">
        <v>92</v>
      </c>
      <c r="L37" s="497"/>
      <c r="M37" s="324">
        <f>SUM(M39:M65)</f>
        <v>0</v>
      </c>
      <c r="N37" s="324">
        <f>SUM(N39:N65)</f>
        <v>0</v>
      </c>
      <c r="O37" s="325">
        <f>SUM(O39:O65)</f>
        <v>0</v>
      </c>
    </row>
    <row r="38" spans="1:19" ht="49.9" customHeight="1" x14ac:dyDescent="0.2">
      <c r="A38" s="415"/>
      <c r="B38" s="491" t="s">
        <v>93</v>
      </c>
      <c r="C38" s="491"/>
      <c r="D38" s="34" t="s">
        <v>94</v>
      </c>
      <c r="E38" s="34" t="s">
        <v>95</v>
      </c>
      <c r="F38" s="140" t="s">
        <v>96</v>
      </c>
      <c r="G38" s="492" t="s">
        <v>97</v>
      </c>
      <c r="H38" s="493"/>
      <c r="I38" s="34" t="s">
        <v>98</v>
      </c>
      <c r="J38" s="34" t="s">
        <v>99</v>
      </c>
      <c r="K38" s="34" t="s">
        <v>100</v>
      </c>
      <c r="L38" s="34" t="s">
        <v>101</v>
      </c>
      <c r="M38" s="34" t="s">
        <v>102</v>
      </c>
      <c r="N38" s="34" t="s">
        <v>103</v>
      </c>
      <c r="O38" s="141" t="s">
        <v>104</v>
      </c>
      <c r="P38" s="142"/>
      <c r="S38" s="5"/>
    </row>
    <row r="39" spans="1:19" ht="13.5" customHeight="1" x14ac:dyDescent="0.2">
      <c r="A39" s="415"/>
      <c r="B39" s="383" t="str">
        <f>IF('Per4'!B39&lt;&gt;"",'Per4'!B39,"")</f>
        <v/>
      </c>
      <c r="C39" s="383"/>
      <c r="D39" s="60" t="str">
        <f>IF('Per4'!D39&lt;&gt;"",'Per4'!D39,"")</f>
        <v/>
      </c>
      <c r="E39" s="143" t="str">
        <f>'Per1'!E39</f>
        <v>Select</v>
      </c>
      <c r="F39" s="144" t="str">
        <f>'Per1'!F39</f>
        <v>Select One</v>
      </c>
      <c r="G39" s="481">
        <f>IF(E39="Hourly",ROUND('Per4'!G39*1.03,2),ROUND('Per4'!G39*1.03,0))</f>
        <v>0</v>
      </c>
      <c r="H39" s="482"/>
      <c r="I39" s="6"/>
      <c r="J39" s="27"/>
      <c r="K39" s="209">
        <f>IF(E39="Hourly",I39*J39/173.33,I39*J39/100)</f>
        <v>0</v>
      </c>
      <c r="L39" s="7" t="str">
        <f t="shared" ref="L39:L65" si="2">IF(M39&lt;&gt;0,SUM(N39/M39),"-")</f>
        <v>-</v>
      </c>
      <c r="M39" s="19">
        <f t="shared" ref="M39:M65" si="3">ROUND((G39*I39*J39*VLOOKUP(E39,$B$12:$C$17,2,FALSE)),0)</f>
        <v>0</v>
      </c>
      <c r="N39" s="19">
        <f t="shared" ref="N39:N65" si="4">ROUND(M39*VLOOKUP(E39&amp;F39,$K$12:$N$35,3,FALSE)+VLOOKUP(E39&amp;F39,$K$12:$N$35,2,FALSE)*MIN(J39,VLOOKUP(E39&amp;F39,$K$12:$N$35,4,FALSE))*I39/100,0)</f>
        <v>0</v>
      </c>
      <c r="O39" s="20">
        <f t="shared" ref="O39:O65" si="5">M39+N39</f>
        <v>0</v>
      </c>
      <c r="P39" s="145"/>
      <c r="Q39" s="14" t="s">
        <v>105</v>
      </c>
      <c r="S39" s="133"/>
    </row>
    <row r="40" spans="1:19" ht="13.5" customHeight="1" x14ac:dyDescent="0.2">
      <c r="A40" s="415"/>
      <c r="B40" s="383" t="str">
        <f>IF('Per4'!B40&lt;&gt;"",'Per4'!B40,"")</f>
        <v/>
      </c>
      <c r="C40" s="383"/>
      <c r="D40" s="60" t="str">
        <f>IF('Per4'!D40&lt;&gt;"",'Per4'!D40,"")</f>
        <v/>
      </c>
      <c r="E40" s="143" t="str">
        <f>'Per1'!E40</f>
        <v>Select</v>
      </c>
      <c r="F40" s="144" t="str">
        <f>'Per1'!F40</f>
        <v>Select One</v>
      </c>
      <c r="G40" s="481">
        <f>IF(E40="Hourly",ROUND('Per4'!G40*1.03,2),ROUND('Per4'!G40*1.03,0))</f>
        <v>0</v>
      </c>
      <c r="H40" s="482"/>
      <c r="I40" s="6"/>
      <c r="J40" s="27"/>
      <c r="K40" s="209">
        <f t="shared" ref="K40:K65" si="6">IF(E40="Hourly",I40*J40/173.33,I40*J40/100)</f>
        <v>0</v>
      </c>
      <c r="L40" s="7" t="str">
        <f t="shared" si="2"/>
        <v>-</v>
      </c>
      <c r="M40" s="19">
        <f t="shared" si="3"/>
        <v>0</v>
      </c>
      <c r="N40" s="19">
        <f t="shared" si="4"/>
        <v>0</v>
      </c>
      <c r="O40" s="8">
        <f t="shared" si="5"/>
        <v>0</v>
      </c>
      <c r="P40" s="30"/>
      <c r="Q40" s="14" t="s">
        <v>106</v>
      </c>
      <c r="S40" s="133"/>
    </row>
    <row r="41" spans="1:19" ht="13.5" customHeight="1" x14ac:dyDescent="0.2">
      <c r="A41" s="415"/>
      <c r="B41" s="383" t="str">
        <f>IF('Per4'!B41&lt;&gt;"",'Per4'!B41,"")</f>
        <v/>
      </c>
      <c r="C41" s="383"/>
      <c r="D41" s="60" t="str">
        <f>IF('Per4'!D41&lt;&gt;"",'Per4'!D41,"")</f>
        <v/>
      </c>
      <c r="E41" s="143" t="str">
        <f>'Per1'!E41</f>
        <v>Select</v>
      </c>
      <c r="F41" s="144" t="str">
        <f>'Per1'!F41</f>
        <v>Select One</v>
      </c>
      <c r="G41" s="481">
        <f>IF(E41="Hourly",ROUND('Per4'!G41*1.03,2),ROUND('Per4'!G41*1.03,0))</f>
        <v>0</v>
      </c>
      <c r="H41" s="482"/>
      <c r="I41" s="6"/>
      <c r="J41" s="27"/>
      <c r="K41" s="209">
        <f t="shared" si="6"/>
        <v>0</v>
      </c>
      <c r="L41" s="7" t="str">
        <f t="shared" si="2"/>
        <v>-</v>
      </c>
      <c r="M41" s="19">
        <f t="shared" si="3"/>
        <v>0</v>
      </c>
      <c r="N41" s="19">
        <f t="shared" si="4"/>
        <v>0</v>
      </c>
      <c r="O41" s="8">
        <f t="shared" si="5"/>
        <v>0</v>
      </c>
      <c r="P41" s="30"/>
      <c r="Q41" s="14" t="s">
        <v>107</v>
      </c>
      <c r="S41" s="133"/>
    </row>
    <row r="42" spans="1:19" ht="13.5" customHeight="1" x14ac:dyDescent="0.2">
      <c r="A42" s="415"/>
      <c r="B42" s="383" t="str">
        <f>IF('Per4'!B42&lt;&gt;"",'Per4'!B42,"")</f>
        <v/>
      </c>
      <c r="C42" s="383"/>
      <c r="D42" s="60" t="str">
        <f>IF('Per4'!D42&lt;&gt;"",'Per4'!D42,"")</f>
        <v/>
      </c>
      <c r="E42" s="143" t="str">
        <f>'Per1'!E42</f>
        <v>Select</v>
      </c>
      <c r="F42" s="144" t="str">
        <f>'Per1'!F42</f>
        <v>Select One</v>
      </c>
      <c r="G42" s="481">
        <f>IF(E42="Hourly",ROUND('Per4'!G42*1.03,2),ROUND('Per4'!G42*1.03,0))</f>
        <v>0</v>
      </c>
      <c r="H42" s="482"/>
      <c r="I42" s="6"/>
      <c r="J42" s="27"/>
      <c r="K42" s="209">
        <f t="shared" si="6"/>
        <v>0</v>
      </c>
      <c r="L42" s="7" t="str">
        <f t="shared" si="2"/>
        <v>-</v>
      </c>
      <c r="M42" s="19">
        <f t="shared" si="3"/>
        <v>0</v>
      </c>
      <c r="N42" s="19">
        <f t="shared" si="4"/>
        <v>0</v>
      </c>
      <c r="O42" s="8">
        <f t="shared" si="5"/>
        <v>0</v>
      </c>
      <c r="P42" s="30"/>
      <c r="Q42" s="14" t="s">
        <v>108</v>
      </c>
      <c r="S42" s="133"/>
    </row>
    <row r="43" spans="1:19" ht="13.5" customHeight="1" x14ac:dyDescent="0.2">
      <c r="A43" s="415"/>
      <c r="B43" s="383" t="str">
        <f>IF('Per4'!B43&lt;&gt;"",'Per4'!B43,"")</f>
        <v/>
      </c>
      <c r="C43" s="383"/>
      <c r="D43" s="60" t="str">
        <f>IF('Per4'!D43&lt;&gt;"",'Per4'!D43,"")</f>
        <v/>
      </c>
      <c r="E43" s="143" t="str">
        <f>'Per1'!E43</f>
        <v>Select</v>
      </c>
      <c r="F43" s="144" t="str">
        <f>'Per1'!F43</f>
        <v>Select One</v>
      </c>
      <c r="G43" s="481">
        <f>IF(E43="Hourly",ROUND('Per4'!G43*1.03,2),ROUND('Per4'!G43*1.03,0))</f>
        <v>0</v>
      </c>
      <c r="H43" s="482"/>
      <c r="I43" s="6"/>
      <c r="J43" s="27"/>
      <c r="K43" s="209">
        <f t="shared" si="6"/>
        <v>0</v>
      </c>
      <c r="L43" s="7" t="str">
        <f t="shared" si="2"/>
        <v>-</v>
      </c>
      <c r="M43" s="19">
        <f t="shared" si="3"/>
        <v>0</v>
      </c>
      <c r="N43" s="19">
        <f t="shared" si="4"/>
        <v>0</v>
      </c>
      <c r="O43" s="8">
        <f t="shared" si="5"/>
        <v>0</v>
      </c>
      <c r="P43" s="30"/>
      <c r="Q43" s="14" t="s">
        <v>109</v>
      </c>
      <c r="S43" s="133"/>
    </row>
    <row r="44" spans="1:19" ht="13.5" customHeight="1" x14ac:dyDescent="0.2">
      <c r="A44" s="415"/>
      <c r="B44" s="383" t="str">
        <f>IF('Per4'!B44&lt;&gt;"",'Per4'!B44,"")</f>
        <v/>
      </c>
      <c r="C44" s="383"/>
      <c r="D44" s="60" t="str">
        <f>IF('Per4'!D44&lt;&gt;"",'Per4'!D44,"")</f>
        <v/>
      </c>
      <c r="E44" s="143" t="str">
        <f>'Per1'!E44</f>
        <v>Select</v>
      </c>
      <c r="F44" s="144" t="str">
        <f>'Per1'!F44</f>
        <v>Select One</v>
      </c>
      <c r="G44" s="481">
        <f>IF(E44="Hourly",ROUND('Per4'!G44*1.03,2),ROUND('Per4'!G44*1.03,0))</f>
        <v>0</v>
      </c>
      <c r="H44" s="482"/>
      <c r="I44" s="6"/>
      <c r="J44" s="27"/>
      <c r="K44" s="209">
        <f t="shared" si="6"/>
        <v>0</v>
      </c>
      <c r="L44" s="7" t="str">
        <f t="shared" si="2"/>
        <v>-</v>
      </c>
      <c r="M44" s="19">
        <f t="shared" si="3"/>
        <v>0</v>
      </c>
      <c r="N44" s="19">
        <f t="shared" si="4"/>
        <v>0</v>
      </c>
      <c r="O44" s="8">
        <f t="shared" si="5"/>
        <v>0</v>
      </c>
      <c r="P44" s="30"/>
      <c r="Q44" s="14" t="s">
        <v>110</v>
      </c>
      <c r="S44" s="146"/>
    </row>
    <row r="45" spans="1:19" ht="13.5" customHeight="1" x14ac:dyDescent="0.2">
      <c r="A45" s="415"/>
      <c r="B45" s="383" t="str">
        <f>IF('Per4'!B45&lt;&gt;"",'Per4'!B45,"")</f>
        <v/>
      </c>
      <c r="C45" s="383"/>
      <c r="D45" s="60" t="str">
        <f>IF('Per4'!D45&lt;&gt;"",'Per4'!D45,"")</f>
        <v/>
      </c>
      <c r="E45" s="143" t="str">
        <f>'Per1'!E45</f>
        <v>Select</v>
      </c>
      <c r="F45" s="144" t="str">
        <f>'Per1'!F45</f>
        <v>Select One</v>
      </c>
      <c r="G45" s="481">
        <f>IF(E45="Hourly",ROUND('Per4'!G45*1.03,2),ROUND('Per4'!G45*1.03,0))</f>
        <v>0</v>
      </c>
      <c r="H45" s="482"/>
      <c r="I45" s="6"/>
      <c r="J45" s="27"/>
      <c r="K45" s="209">
        <f t="shared" si="6"/>
        <v>0</v>
      </c>
      <c r="L45" s="7" t="str">
        <f t="shared" si="2"/>
        <v>-</v>
      </c>
      <c r="M45" s="19">
        <f t="shared" si="3"/>
        <v>0</v>
      </c>
      <c r="N45" s="19">
        <f t="shared" si="4"/>
        <v>0</v>
      </c>
      <c r="O45" s="8">
        <f t="shared" si="5"/>
        <v>0</v>
      </c>
      <c r="P45" s="30"/>
      <c r="Q45" s="14"/>
      <c r="S45" s="146"/>
    </row>
    <row r="46" spans="1:19" ht="13.5" customHeight="1" x14ac:dyDescent="0.2">
      <c r="A46" s="415"/>
      <c r="B46" s="383" t="str">
        <f>IF('Per4'!B46&lt;&gt;"",'Per4'!B46,"")</f>
        <v/>
      </c>
      <c r="C46" s="383"/>
      <c r="D46" s="60" t="str">
        <f>IF('Per4'!D46&lt;&gt;"",'Per4'!D46,"")</f>
        <v/>
      </c>
      <c r="E46" s="143" t="str">
        <f>'Per1'!E46</f>
        <v>Select</v>
      </c>
      <c r="F46" s="144" t="str">
        <f>'Per1'!F46</f>
        <v>Select One</v>
      </c>
      <c r="G46" s="481">
        <f>IF(E46="Hourly",ROUND('Per4'!G46*1.03,2),ROUND('Per4'!G46*1.03,0))</f>
        <v>0</v>
      </c>
      <c r="H46" s="482"/>
      <c r="I46" s="6"/>
      <c r="J46" s="27"/>
      <c r="K46" s="209">
        <f t="shared" si="6"/>
        <v>0</v>
      </c>
      <c r="L46" s="7" t="str">
        <f t="shared" si="2"/>
        <v>-</v>
      </c>
      <c r="M46" s="19">
        <f t="shared" si="3"/>
        <v>0</v>
      </c>
      <c r="N46" s="19">
        <f t="shared" si="4"/>
        <v>0</v>
      </c>
      <c r="O46" s="8">
        <f t="shared" si="5"/>
        <v>0</v>
      </c>
      <c r="P46" s="30"/>
      <c r="Q46" s="14"/>
      <c r="S46" s="146"/>
    </row>
    <row r="47" spans="1:19" ht="13.5" customHeight="1" x14ac:dyDescent="0.2">
      <c r="A47" s="415"/>
      <c r="B47" s="383" t="str">
        <f>IF('Per4'!B47&lt;&gt;"",'Per4'!B47,"")</f>
        <v/>
      </c>
      <c r="C47" s="383"/>
      <c r="D47" s="60" t="str">
        <f>IF('Per4'!D47&lt;&gt;"",'Per4'!D47,"")</f>
        <v/>
      </c>
      <c r="E47" s="143" t="str">
        <f>'Per1'!E47</f>
        <v>Select</v>
      </c>
      <c r="F47" s="144" t="str">
        <f>'Per1'!F47</f>
        <v>Select One</v>
      </c>
      <c r="G47" s="481">
        <f>IF(E47="Hourly",ROUND('Per4'!G47*1.03,2),ROUND('Per4'!G47*1.03,0))</f>
        <v>0</v>
      </c>
      <c r="H47" s="482"/>
      <c r="I47" s="6"/>
      <c r="J47" s="27"/>
      <c r="K47" s="209">
        <f t="shared" si="6"/>
        <v>0</v>
      </c>
      <c r="L47" s="7" t="str">
        <f t="shared" si="2"/>
        <v>-</v>
      </c>
      <c r="M47" s="19">
        <f t="shared" si="3"/>
        <v>0</v>
      </c>
      <c r="N47" s="19">
        <f t="shared" si="4"/>
        <v>0</v>
      </c>
      <c r="O47" s="8">
        <f t="shared" si="5"/>
        <v>0</v>
      </c>
      <c r="P47" s="30"/>
      <c r="Q47" s="14"/>
      <c r="S47" s="146"/>
    </row>
    <row r="48" spans="1:19" ht="13.5" customHeight="1" thickBot="1" x14ac:dyDescent="0.25">
      <c r="A48" s="415"/>
      <c r="B48" s="383" t="str">
        <f>IF('Per4'!B48&lt;&gt;"",'Per4'!B48,"")</f>
        <v/>
      </c>
      <c r="C48" s="383"/>
      <c r="D48" s="60" t="str">
        <f>IF('Per4'!D48&lt;&gt;"",'Per4'!D48,"")</f>
        <v/>
      </c>
      <c r="E48" s="143" t="str">
        <f>'Per1'!E48</f>
        <v>Select</v>
      </c>
      <c r="F48" s="144" t="str">
        <f>'Per1'!F48</f>
        <v>Select One</v>
      </c>
      <c r="G48" s="481">
        <f>IF(E48="Hourly",ROUND('Per4'!G48*1.03,2),ROUND('Per4'!G48*1.03,0))</f>
        <v>0</v>
      </c>
      <c r="H48" s="482"/>
      <c r="I48" s="6"/>
      <c r="J48" s="27"/>
      <c r="K48" s="209">
        <f t="shared" si="6"/>
        <v>0</v>
      </c>
      <c r="L48" s="7" t="str">
        <f t="shared" si="2"/>
        <v>-</v>
      </c>
      <c r="M48" s="19">
        <f t="shared" si="3"/>
        <v>0</v>
      </c>
      <c r="N48" s="19">
        <f t="shared" si="4"/>
        <v>0</v>
      </c>
      <c r="O48" s="8">
        <f t="shared" si="5"/>
        <v>0</v>
      </c>
      <c r="P48" s="30"/>
      <c r="Q48" s="14"/>
      <c r="S48" s="146"/>
    </row>
    <row r="49" spans="1:19" ht="13.5" hidden="1" customHeight="1" x14ac:dyDescent="0.2">
      <c r="A49" s="415"/>
      <c r="B49" s="383" t="str">
        <f>IF('Per4'!B49&lt;&gt;"",'Per4'!B49,"")</f>
        <v/>
      </c>
      <c r="C49" s="383"/>
      <c r="D49" s="60" t="str">
        <f>IF('Per4'!D49&lt;&gt;"",'Per4'!D49,"")</f>
        <v/>
      </c>
      <c r="E49" s="143" t="str">
        <f>'Per1'!E49</f>
        <v>Select</v>
      </c>
      <c r="F49" s="144" t="str">
        <f>'Per1'!F49</f>
        <v>Select One</v>
      </c>
      <c r="G49" s="481">
        <f>IF(E49="Hourly",ROUND('Per4'!G49*1.03,2),ROUND('Per4'!G49*1.03,0))</f>
        <v>0</v>
      </c>
      <c r="H49" s="482"/>
      <c r="I49" s="6"/>
      <c r="J49" s="27"/>
      <c r="K49" s="209">
        <f t="shared" si="6"/>
        <v>0</v>
      </c>
      <c r="L49" s="7" t="str">
        <f t="shared" si="2"/>
        <v>-</v>
      </c>
      <c r="M49" s="19">
        <f t="shared" si="3"/>
        <v>0</v>
      </c>
      <c r="N49" s="19">
        <f t="shared" si="4"/>
        <v>0</v>
      </c>
      <c r="O49" s="8">
        <f t="shared" si="5"/>
        <v>0</v>
      </c>
      <c r="P49" s="30"/>
      <c r="Q49" s="224" t="s">
        <v>111</v>
      </c>
      <c r="S49" s="146"/>
    </row>
    <row r="50" spans="1:19" ht="13.5" hidden="1" customHeight="1" x14ac:dyDescent="0.2">
      <c r="A50" s="415"/>
      <c r="B50" s="383" t="str">
        <f>IF('Per4'!B50&lt;&gt;"",'Per4'!B50,"")</f>
        <v/>
      </c>
      <c r="C50" s="383"/>
      <c r="D50" s="60" t="str">
        <f>IF('Per4'!D50&lt;&gt;"",'Per4'!D50,"")</f>
        <v/>
      </c>
      <c r="E50" s="143" t="str">
        <f>'Per1'!E50</f>
        <v>Select</v>
      </c>
      <c r="F50" s="144" t="str">
        <f>'Per1'!F50</f>
        <v>Select One</v>
      </c>
      <c r="G50" s="481">
        <f>IF(E50="Hourly",ROUND('Per4'!G50*1.03,2),ROUND('Per4'!G50*1.03,0))</f>
        <v>0</v>
      </c>
      <c r="H50" s="482"/>
      <c r="I50" s="6"/>
      <c r="J50" s="27"/>
      <c r="K50" s="209">
        <f t="shared" si="6"/>
        <v>0</v>
      </c>
      <c r="L50" s="7" t="str">
        <f t="shared" si="2"/>
        <v>-</v>
      </c>
      <c r="M50" s="19">
        <f t="shared" si="3"/>
        <v>0</v>
      </c>
      <c r="N50" s="19">
        <f t="shared" si="4"/>
        <v>0</v>
      </c>
      <c r="O50" s="8">
        <f t="shared" si="5"/>
        <v>0</v>
      </c>
      <c r="P50" s="30"/>
      <c r="Q50" s="14"/>
      <c r="S50" s="146"/>
    </row>
    <row r="51" spans="1:19" ht="13.5" hidden="1" customHeight="1" x14ac:dyDescent="0.2">
      <c r="A51" s="415"/>
      <c r="B51" s="383" t="str">
        <f>IF('Per4'!B51&lt;&gt;"",'Per4'!B51,"")</f>
        <v/>
      </c>
      <c r="C51" s="383"/>
      <c r="D51" s="60" t="str">
        <f>IF('Per4'!D51&lt;&gt;"",'Per4'!D51,"")</f>
        <v/>
      </c>
      <c r="E51" s="143" t="str">
        <f>'Per1'!E51</f>
        <v>Select</v>
      </c>
      <c r="F51" s="144" t="str">
        <f>'Per1'!F51</f>
        <v>Select One</v>
      </c>
      <c r="G51" s="481">
        <f>IF(E51="Hourly",ROUND('Per4'!G51*1.03,2),ROUND('Per4'!G51*1.03,0))</f>
        <v>0</v>
      </c>
      <c r="H51" s="482"/>
      <c r="I51" s="6"/>
      <c r="J51" s="27"/>
      <c r="K51" s="209">
        <f t="shared" si="6"/>
        <v>0</v>
      </c>
      <c r="L51" s="7" t="str">
        <f t="shared" si="2"/>
        <v>-</v>
      </c>
      <c r="M51" s="19">
        <f t="shared" si="3"/>
        <v>0</v>
      </c>
      <c r="N51" s="19">
        <f t="shared" si="4"/>
        <v>0</v>
      </c>
      <c r="O51" s="8">
        <f t="shared" si="5"/>
        <v>0</v>
      </c>
      <c r="P51" s="30"/>
      <c r="Q51" s="14"/>
      <c r="S51" s="146"/>
    </row>
    <row r="52" spans="1:19" ht="13.5" hidden="1" customHeight="1" x14ac:dyDescent="0.2">
      <c r="A52" s="415"/>
      <c r="B52" s="383" t="str">
        <f>IF('Per4'!B52&lt;&gt;"",'Per4'!B52,"")</f>
        <v/>
      </c>
      <c r="C52" s="383"/>
      <c r="D52" s="60" t="str">
        <f>IF('Per4'!D52&lt;&gt;"",'Per4'!D52,"")</f>
        <v/>
      </c>
      <c r="E52" s="143" t="str">
        <f>'Per1'!E52</f>
        <v>Select</v>
      </c>
      <c r="F52" s="144" t="str">
        <f>'Per1'!F52</f>
        <v>Select One</v>
      </c>
      <c r="G52" s="481">
        <f>IF(E52="Hourly",ROUND('Per4'!G52*1.03,2),ROUND('Per4'!G52*1.03,0))</f>
        <v>0</v>
      </c>
      <c r="H52" s="482"/>
      <c r="I52" s="6"/>
      <c r="J52" s="27"/>
      <c r="K52" s="209">
        <f t="shared" si="6"/>
        <v>0</v>
      </c>
      <c r="L52" s="7" t="str">
        <f t="shared" si="2"/>
        <v>-</v>
      </c>
      <c r="M52" s="19">
        <f t="shared" si="3"/>
        <v>0</v>
      </c>
      <c r="N52" s="19">
        <f t="shared" si="4"/>
        <v>0</v>
      </c>
      <c r="O52" s="8">
        <f t="shared" si="5"/>
        <v>0</v>
      </c>
      <c r="P52" s="30"/>
      <c r="Q52" s="14"/>
      <c r="S52" s="146"/>
    </row>
    <row r="53" spans="1:19" ht="13.5" hidden="1" customHeight="1" x14ac:dyDescent="0.2">
      <c r="A53" s="415"/>
      <c r="B53" s="383" t="str">
        <f>IF('Per4'!B53&lt;&gt;"",'Per4'!B53,"")</f>
        <v/>
      </c>
      <c r="C53" s="383"/>
      <c r="D53" s="60" t="str">
        <f>IF('Per4'!D53&lt;&gt;"",'Per4'!D53,"")</f>
        <v/>
      </c>
      <c r="E53" s="143" t="str">
        <f>'Per1'!E53</f>
        <v>Select</v>
      </c>
      <c r="F53" s="144" t="str">
        <f>'Per1'!F53</f>
        <v>Select One</v>
      </c>
      <c r="G53" s="481">
        <f>IF(E53="Hourly",ROUND('Per4'!G53*1.03,2),ROUND('Per4'!G53*1.03,0))</f>
        <v>0</v>
      </c>
      <c r="H53" s="482"/>
      <c r="I53" s="6"/>
      <c r="J53" s="27"/>
      <c r="K53" s="209">
        <f t="shared" si="6"/>
        <v>0</v>
      </c>
      <c r="L53" s="7" t="str">
        <f t="shared" si="2"/>
        <v>-</v>
      </c>
      <c r="M53" s="19">
        <f t="shared" si="3"/>
        <v>0</v>
      </c>
      <c r="N53" s="19">
        <f t="shared" si="4"/>
        <v>0</v>
      </c>
      <c r="O53" s="8">
        <f t="shared" si="5"/>
        <v>0</v>
      </c>
      <c r="P53" s="30"/>
      <c r="Q53" s="14"/>
      <c r="S53" s="146"/>
    </row>
    <row r="54" spans="1:19" ht="13.5" hidden="1" customHeight="1" x14ac:dyDescent="0.2">
      <c r="A54" s="415"/>
      <c r="B54" s="383" t="str">
        <f>IF('Per4'!B54&lt;&gt;"",'Per4'!B54,"")</f>
        <v/>
      </c>
      <c r="C54" s="383"/>
      <c r="D54" s="60" t="str">
        <f>IF('Per4'!D54&lt;&gt;"",'Per4'!D54,"")</f>
        <v/>
      </c>
      <c r="E54" s="143" t="str">
        <f>'Per1'!E54</f>
        <v>Select</v>
      </c>
      <c r="F54" s="144" t="str">
        <f>'Per1'!F54</f>
        <v>Select One</v>
      </c>
      <c r="G54" s="481">
        <f>IF(E54="Hourly",ROUND('Per4'!G54*1.03,2),ROUND('Per4'!G54*1.03,0))</f>
        <v>0</v>
      </c>
      <c r="H54" s="482"/>
      <c r="I54" s="6"/>
      <c r="J54" s="27"/>
      <c r="K54" s="209">
        <f t="shared" si="6"/>
        <v>0</v>
      </c>
      <c r="L54" s="7" t="str">
        <f t="shared" si="2"/>
        <v>-</v>
      </c>
      <c r="M54" s="19">
        <f t="shared" si="3"/>
        <v>0</v>
      </c>
      <c r="N54" s="19">
        <f t="shared" si="4"/>
        <v>0</v>
      </c>
      <c r="O54" s="8">
        <f t="shared" si="5"/>
        <v>0</v>
      </c>
      <c r="P54" s="30"/>
      <c r="Q54" s="14"/>
      <c r="S54" s="146"/>
    </row>
    <row r="55" spans="1:19" ht="13.5" hidden="1" customHeight="1" x14ac:dyDescent="0.2">
      <c r="A55" s="415"/>
      <c r="B55" s="383" t="str">
        <f>IF('Per4'!B55&lt;&gt;"",'Per4'!B55,"")</f>
        <v/>
      </c>
      <c r="C55" s="383"/>
      <c r="D55" s="60" t="str">
        <f>IF('Per4'!D55&lt;&gt;"",'Per4'!D55,"")</f>
        <v/>
      </c>
      <c r="E55" s="143" t="str">
        <f>'Per1'!E55</f>
        <v>Select</v>
      </c>
      <c r="F55" s="144" t="str">
        <f>'Per1'!F55</f>
        <v>Select One</v>
      </c>
      <c r="G55" s="481">
        <f>IF(E55="Hourly",ROUND('Per4'!G55*1.03,2),ROUND('Per4'!G55*1.03,0))</f>
        <v>0</v>
      </c>
      <c r="H55" s="482"/>
      <c r="I55" s="6"/>
      <c r="J55" s="27"/>
      <c r="K55" s="209">
        <f t="shared" si="6"/>
        <v>0</v>
      </c>
      <c r="L55" s="7" t="str">
        <f t="shared" si="2"/>
        <v>-</v>
      </c>
      <c r="M55" s="19">
        <f t="shared" si="3"/>
        <v>0</v>
      </c>
      <c r="N55" s="19">
        <f t="shared" si="4"/>
        <v>0</v>
      </c>
      <c r="O55" s="8">
        <f t="shared" si="5"/>
        <v>0</v>
      </c>
      <c r="P55" s="30"/>
      <c r="Q55" s="14"/>
      <c r="S55" s="146"/>
    </row>
    <row r="56" spans="1:19" ht="13.5" hidden="1" customHeight="1" x14ac:dyDescent="0.2">
      <c r="A56" s="415"/>
      <c r="B56" s="383" t="str">
        <f>IF('Per4'!B56&lt;&gt;"",'Per4'!B56,"")</f>
        <v/>
      </c>
      <c r="C56" s="383"/>
      <c r="D56" s="60" t="str">
        <f>IF('Per4'!D56&lt;&gt;"",'Per4'!D56,"")</f>
        <v/>
      </c>
      <c r="E56" s="143" t="str">
        <f>'Per1'!E56</f>
        <v>Select</v>
      </c>
      <c r="F56" s="144" t="str">
        <f>'Per1'!F56</f>
        <v>Select One</v>
      </c>
      <c r="G56" s="481">
        <f>IF(E56="Hourly",ROUND('Per4'!G56*1.03,2),ROUND('Per4'!G56*1.03,0))</f>
        <v>0</v>
      </c>
      <c r="H56" s="482"/>
      <c r="I56" s="6"/>
      <c r="J56" s="27"/>
      <c r="K56" s="209">
        <f t="shared" si="6"/>
        <v>0</v>
      </c>
      <c r="L56" s="7" t="str">
        <f t="shared" si="2"/>
        <v>-</v>
      </c>
      <c r="M56" s="19">
        <f t="shared" si="3"/>
        <v>0</v>
      </c>
      <c r="N56" s="19">
        <f t="shared" si="4"/>
        <v>0</v>
      </c>
      <c r="O56" s="8">
        <f t="shared" si="5"/>
        <v>0</v>
      </c>
      <c r="P56" s="30"/>
      <c r="Q56" s="14"/>
      <c r="S56" s="146"/>
    </row>
    <row r="57" spans="1:19" ht="13.5" hidden="1" customHeight="1" x14ac:dyDescent="0.2">
      <c r="A57" s="415"/>
      <c r="B57" s="383" t="str">
        <f>IF('Per4'!B57&lt;&gt;"",'Per4'!B57,"")</f>
        <v/>
      </c>
      <c r="C57" s="383"/>
      <c r="D57" s="60" t="str">
        <f>IF('Per4'!D57&lt;&gt;"",'Per4'!D57,"")</f>
        <v/>
      </c>
      <c r="E57" s="143" t="str">
        <f>'Per1'!E57</f>
        <v>Select</v>
      </c>
      <c r="F57" s="144" t="str">
        <f>'Per1'!F57</f>
        <v>Select One</v>
      </c>
      <c r="G57" s="481">
        <f>IF(E57="Hourly",ROUND('Per4'!G57*1.03,2),ROUND('Per4'!G57*1.03,0))</f>
        <v>0</v>
      </c>
      <c r="H57" s="482"/>
      <c r="I57" s="6"/>
      <c r="J57" s="27"/>
      <c r="K57" s="209">
        <f t="shared" si="6"/>
        <v>0</v>
      </c>
      <c r="L57" s="7" t="str">
        <f t="shared" si="2"/>
        <v>-</v>
      </c>
      <c r="M57" s="19">
        <f t="shared" si="3"/>
        <v>0</v>
      </c>
      <c r="N57" s="19">
        <f t="shared" si="4"/>
        <v>0</v>
      </c>
      <c r="O57" s="8">
        <f t="shared" si="5"/>
        <v>0</v>
      </c>
      <c r="P57" s="30"/>
      <c r="Q57" s="14"/>
      <c r="S57" s="146"/>
    </row>
    <row r="58" spans="1:19" ht="13.5" hidden="1" customHeight="1" x14ac:dyDescent="0.2">
      <c r="A58" s="415"/>
      <c r="B58" s="383" t="str">
        <f>IF('Per4'!B58&lt;&gt;"",'Per4'!B58,"")</f>
        <v/>
      </c>
      <c r="C58" s="383"/>
      <c r="D58" s="60" t="str">
        <f>IF('Per4'!D58&lt;&gt;"",'Per4'!D58,"")</f>
        <v/>
      </c>
      <c r="E58" s="143" t="str">
        <f>'Per1'!E58</f>
        <v>Select</v>
      </c>
      <c r="F58" s="144" t="str">
        <f>'Per1'!F58</f>
        <v>Select One</v>
      </c>
      <c r="G58" s="481">
        <f>IF(E58="Hourly",ROUND('Per4'!G58*1.03,2),ROUND('Per4'!G58*1.03,0))</f>
        <v>0</v>
      </c>
      <c r="H58" s="482"/>
      <c r="I58" s="6"/>
      <c r="J58" s="27"/>
      <c r="K58" s="209">
        <f t="shared" si="6"/>
        <v>0</v>
      </c>
      <c r="L58" s="7" t="str">
        <f t="shared" si="2"/>
        <v>-</v>
      </c>
      <c r="M58" s="19">
        <f t="shared" si="3"/>
        <v>0</v>
      </c>
      <c r="N58" s="19">
        <f t="shared" si="4"/>
        <v>0</v>
      </c>
      <c r="O58" s="8">
        <f t="shared" si="5"/>
        <v>0</v>
      </c>
      <c r="P58" s="30"/>
      <c r="Q58" s="14"/>
      <c r="S58" s="146"/>
    </row>
    <row r="59" spans="1:19" ht="13.5" hidden="1" customHeight="1" x14ac:dyDescent="0.2">
      <c r="A59" s="415"/>
      <c r="B59" s="383" t="str">
        <f>IF('Per4'!B59&lt;&gt;"",'Per4'!B59,"")</f>
        <v/>
      </c>
      <c r="C59" s="383"/>
      <c r="D59" s="60" t="str">
        <f>IF('Per4'!D59&lt;&gt;"",'Per4'!D59,"")</f>
        <v/>
      </c>
      <c r="E59" s="143" t="str">
        <f>'Per1'!E59</f>
        <v>Select</v>
      </c>
      <c r="F59" s="144" t="str">
        <f>'Per1'!F59</f>
        <v>Select One</v>
      </c>
      <c r="G59" s="481">
        <f>IF(E59="Hourly",ROUND('Per4'!G59*1.03,2),ROUND('Per4'!G59*1.03,0))</f>
        <v>0</v>
      </c>
      <c r="H59" s="482"/>
      <c r="I59" s="6"/>
      <c r="J59" s="27"/>
      <c r="K59" s="209">
        <f t="shared" si="6"/>
        <v>0</v>
      </c>
      <c r="L59" s="7" t="str">
        <f t="shared" si="2"/>
        <v>-</v>
      </c>
      <c r="M59" s="19">
        <f t="shared" si="3"/>
        <v>0</v>
      </c>
      <c r="N59" s="19">
        <f t="shared" si="4"/>
        <v>0</v>
      </c>
      <c r="O59" s="8">
        <f t="shared" si="5"/>
        <v>0</v>
      </c>
      <c r="P59" s="30"/>
      <c r="Q59" s="14"/>
      <c r="S59" s="146"/>
    </row>
    <row r="60" spans="1:19" ht="13.5" hidden="1" customHeight="1" x14ac:dyDescent="0.2">
      <c r="A60" s="415"/>
      <c r="B60" s="383" t="str">
        <f>IF('Per4'!B60&lt;&gt;"",'Per4'!B60,"")</f>
        <v/>
      </c>
      <c r="C60" s="383"/>
      <c r="D60" s="60" t="str">
        <f>IF('Per4'!D60&lt;&gt;"",'Per4'!D60,"")</f>
        <v/>
      </c>
      <c r="E60" s="143" t="str">
        <f>'Per1'!E60</f>
        <v>Select</v>
      </c>
      <c r="F60" s="144" t="str">
        <f>'Per1'!F60</f>
        <v>Select One</v>
      </c>
      <c r="G60" s="481">
        <f>IF(E60="Hourly",ROUND('Per4'!G60*1.03,2),ROUND('Per4'!G60*1.03,0))</f>
        <v>0</v>
      </c>
      <c r="H60" s="482"/>
      <c r="I60" s="6"/>
      <c r="J60" s="27"/>
      <c r="K60" s="209">
        <f t="shared" si="6"/>
        <v>0</v>
      </c>
      <c r="L60" s="7" t="str">
        <f t="shared" si="2"/>
        <v>-</v>
      </c>
      <c r="M60" s="19">
        <f t="shared" si="3"/>
        <v>0</v>
      </c>
      <c r="N60" s="19">
        <f t="shared" si="4"/>
        <v>0</v>
      </c>
      <c r="O60" s="8">
        <f t="shared" si="5"/>
        <v>0</v>
      </c>
      <c r="P60" s="30"/>
      <c r="Q60" s="14"/>
      <c r="S60" s="146"/>
    </row>
    <row r="61" spans="1:19" ht="13.5" hidden="1" customHeight="1" x14ac:dyDescent="0.2">
      <c r="A61" s="415"/>
      <c r="B61" s="383" t="str">
        <f>IF('Per4'!B61&lt;&gt;"",'Per4'!B61,"")</f>
        <v/>
      </c>
      <c r="C61" s="383"/>
      <c r="D61" s="60" t="str">
        <f>IF('Per4'!D61&lt;&gt;"",'Per4'!D61,"")</f>
        <v/>
      </c>
      <c r="E61" s="143" t="str">
        <f>'Per1'!E61</f>
        <v>Select</v>
      </c>
      <c r="F61" s="144" t="str">
        <f>'Per1'!F61</f>
        <v>Select One</v>
      </c>
      <c r="G61" s="481">
        <f>IF(E61="Hourly",ROUND('Per4'!G61*1.03,2),ROUND('Per4'!G61*1.03,0))</f>
        <v>0</v>
      </c>
      <c r="H61" s="482"/>
      <c r="I61" s="6"/>
      <c r="J61" s="27"/>
      <c r="K61" s="209">
        <f t="shared" si="6"/>
        <v>0</v>
      </c>
      <c r="L61" s="7" t="str">
        <f t="shared" si="2"/>
        <v>-</v>
      </c>
      <c r="M61" s="19">
        <f t="shared" si="3"/>
        <v>0</v>
      </c>
      <c r="N61" s="19">
        <f t="shared" si="4"/>
        <v>0</v>
      </c>
      <c r="O61" s="8">
        <f t="shared" si="5"/>
        <v>0</v>
      </c>
      <c r="P61" s="30"/>
      <c r="Q61" s="14"/>
      <c r="S61" s="146"/>
    </row>
    <row r="62" spans="1:19" ht="13.5" hidden="1" customHeight="1" x14ac:dyDescent="0.2">
      <c r="A62" s="415"/>
      <c r="B62" s="383" t="str">
        <f>IF('Per4'!B62&lt;&gt;"",'Per4'!B62,"")</f>
        <v/>
      </c>
      <c r="C62" s="383"/>
      <c r="D62" s="60" t="str">
        <f>IF('Per4'!D62&lt;&gt;"",'Per4'!D62,"")</f>
        <v/>
      </c>
      <c r="E62" s="143" t="str">
        <f>'Per1'!E62</f>
        <v>Select</v>
      </c>
      <c r="F62" s="144" t="str">
        <f>'Per1'!F62</f>
        <v>Select One</v>
      </c>
      <c r="G62" s="481">
        <f>IF(E62="Hourly",ROUND('Per4'!G62*1.03,2),ROUND('Per4'!G62*1.03,0))</f>
        <v>0</v>
      </c>
      <c r="H62" s="482"/>
      <c r="I62" s="6"/>
      <c r="J62" s="27"/>
      <c r="K62" s="209">
        <f t="shared" si="6"/>
        <v>0</v>
      </c>
      <c r="L62" s="7" t="str">
        <f t="shared" si="2"/>
        <v>-</v>
      </c>
      <c r="M62" s="19">
        <f t="shared" si="3"/>
        <v>0</v>
      </c>
      <c r="N62" s="19">
        <f t="shared" si="4"/>
        <v>0</v>
      </c>
      <c r="O62" s="8">
        <f t="shared" si="5"/>
        <v>0</v>
      </c>
      <c r="P62" s="30"/>
      <c r="Q62" s="14"/>
      <c r="S62" s="146"/>
    </row>
    <row r="63" spans="1:19" ht="13.5" hidden="1" customHeight="1" x14ac:dyDescent="0.2">
      <c r="A63" s="415"/>
      <c r="B63" s="383" t="str">
        <f>IF('Per4'!B63&lt;&gt;"",'Per4'!B63,"")</f>
        <v/>
      </c>
      <c r="C63" s="383"/>
      <c r="D63" s="60" t="str">
        <f>IF('Per4'!D63&lt;&gt;"",'Per4'!D63,"")</f>
        <v/>
      </c>
      <c r="E63" s="143" t="str">
        <f>'Per1'!E63</f>
        <v>Select</v>
      </c>
      <c r="F63" s="144" t="str">
        <f>'Per1'!F63</f>
        <v>Select One</v>
      </c>
      <c r="G63" s="481">
        <f>IF(E63="Hourly",ROUND('Per4'!G63*1.03,2),ROUND('Per4'!G63*1.03,0))</f>
        <v>0</v>
      </c>
      <c r="H63" s="482"/>
      <c r="I63" s="6"/>
      <c r="J63" s="27"/>
      <c r="K63" s="209">
        <f t="shared" si="6"/>
        <v>0</v>
      </c>
      <c r="L63" s="7" t="str">
        <f t="shared" si="2"/>
        <v>-</v>
      </c>
      <c r="M63" s="19">
        <f t="shared" si="3"/>
        <v>0</v>
      </c>
      <c r="N63" s="19">
        <f t="shared" si="4"/>
        <v>0</v>
      </c>
      <c r="O63" s="8">
        <f t="shared" si="5"/>
        <v>0</v>
      </c>
      <c r="P63" s="30"/>
      <c r="Q63" s="14"/>
      <c r="S63" s="146"/>
    </row>
    <row r="64" spans="1:19" ht="13.5" hidden="1" customHeight="1" x14ac:dyDescent="0.2">
      <c r="A64" s="415"/>
      <c r="B64" s="383" t="str">
        <f>IF('Per4'!B64&lt;&gt;"",'Per4'!B64,"")</f>
        <v/>
      </c>
      <c r="C64" s="383"/>
      <c r="D64" s="60" t="str">
        <f>IF('Per4'!D64&lt;&gt;"",'Per4'!D64,"")</f>
        <v/>
      </c>
      <c r="E64" s="143" t="str">
        <f>'Per1'!E64</f>
        <v>Select</v>
      </c>
      <c r="F64" s="144" t="str">
        <f>'Per1'!F64</f>
        <v>Select One</v>
      </c>
      <c r="G64" s="481">
        <f>IF(E64="Hourly",ROUND('Per4'!G64*1.03,2),ROUND('Per4'!G64*1.03,0))</f>
        <v>0</v>
      </c>
      <c r="H64" s="482"/>
      <c r="I64" s="6"/>
      <c r="J64" s="27"/>
      <c r="K64" s="209">
        <f t="shared" si="6"/>
        <v>0</v>
      </c>
      <c r="L64" s="7" t="str">
        <f t="shared" si="2"/>
        <v>-</v>
      </c>
      <c r="M64" s="19">
        <f t="shared" si="3"/>
        <v>0</v>
      </c>
      <c r="N64" s="19">
        <f t="shared" si="4"/>
        <v>0</v>
      </c>
      <c r="O64" s="8">
        <f t="shared" si="5"/>
        <v>0</v>
      </c>
      <c r="P64" s="30"/>
      <c r="S64" s="146"/>
    </row>
    <row r="65" spans="1:19" ht="13.5" hidden="1" customHeight="1" thickBot="1" x14ac:dyDescent="0.25">
      <c r="A65" s="415"/>
      <c r="B65" s="383" t="str">
        <f>IF('Per4'!B65&lt;&gt;"",'Per4'!B65,"")</f>
        <v/>
      </c>
      <c r="C65" s="383"/>
      <c r="D65" s="60" t="str">
        <f>IF('Per4'!D65&lt;&gt;"",'Per4'!D65,"")</f>
        <v/>
      </c>
      <c r="E65" s="143" t="str">
        <f>'Per1'!E65</f>
        <v>Select</v>
      </c>
      <c r="F65" s="144" t="str">
        <f>'Per1'!F65</f>
        <v>Select One</v>
      </c>
      <c r="G65" s="481">
        <f>IF(E65="Hourly",ROUND('Per4'!G65*1.03,2),ROUND('Per4'!G65*1.03,0))</f>
        <v>0</v>
      </c>
      <c r="H65" s="482"/>
      <c r="I65" s="6"/>
      <c r="J65" s="27"/>
      <c r="K65" s="209">
        <f t="shared" si="6"/>
        <v>0</v>
      </c>
      <c r="L65" s="7" t="str">
        <f t="shared" si="2"/>
        <v>-</v>
      </c>
      <c r="M65" s="19">
        <f t="shared" si="3"/>
        <v>0</v>
      </c>
      <c r="N65" s="19">
        <f t="shared" si="4"/>
        <v>0</v>
      </c>
      <c r="O65" s="8">
        <f t="shared" si="5"/>
        <v>0</v>
      </c>
      <c r="P65" s="30"/>
      <c r="S65" s="146"/>
    </row>
    <row r="66" spans="1:19" ht="13.5" customHeight="1" x14ac:dyDescent="0.2">
      <c r="A66" s="415"/>
      <c r="B66" s="504" t="s">
        <v>112</v>
      </c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121" t="s">
        <v>27</v>
      </c>
      <c r="O66" s="347">
        <f>SUM(O67:O68)</f>
        <v>0</v>
      </c>
      <c r="P66" s="147"/>
    </row>
    <row r="67" spans="1:19" ht="13.5" customHeight="1" x14ac:dyDescent="0.2">
      <c r="A67" s="415"/>
      <c r="B67" s="383" t="s">
        <v>113</v>
      </c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4"/>
      <c r="O67" s="11">
        <v>0</v>
      </c>
      <c r="P67" s="30"/>
    </row>
    <row r="68" spans="1:19" ht="13.5" customHeight="1" thickBot="1" x14ac:dyDescent="0.25">
      <c r="A68" s="415"/>
      <c r="B68" s="383" t="s">
        <v>114</v>
      </c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4"/>
      <c r="O68" s="22">
        <v>0</v>
      </c>
      <c r="P68" s="30"/>
    </row>
    <row r="69" spans="1:19" ht="13.5" customHeight="1" x14ac:dyDescent="0.2">
      <c r="A69" s="415"/>
      <c r="B69" s="504" t="s">
        <v>115</v>
      </c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121" t="s">
        <v>27</v>
      </c>
      <c r="O69" s="347">
        <f>SUM(O70,O77:O81)</f>
        <v>0</v>
      </c>
      <c r="P69" s="147"/>
    </row>
    <row r="70" spans="1:19" ht="13.5" customHeight="1" x14ac:dyDescent="0.2">
      <c r="A70" s="415"/>
      <c r="B70" s="523" t="s">
        <v>116</v>
      </c>
      <c r="C70" s="524"/>
      <c r="D70" s="524"/>
      <c r="E70" s="524"/>
      <c r="F70" s="524"/>
      <c r="G70" s="524"/>
      <c r="H70" s="524"/>
      <c r="I70" s="524"/>
      <c r="J70" s="524"/>
      <c r="K70" s="524"/>
      <c r="L70" s="524"/>
      <c r="M70" s="524"/>
      <c r="N70" s="524"/>
      <c r="O70" s="328">
        <f>SUM(N71:N76)</f>
        <v>0</v>
      </c>
      <c r="P70" s="30"/>
    </row>
    <row r="71" spans="1:19" ht="13.5" customHeight="1" x14ac:dyDescent="0.2">
      <c r="A71" s="415"/>
      <c r="B71" s="523" t="s">
        <v>117</v>
      </c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257">
        <v>0</v>
      </c>
      <c r="O71" s="322"/>
      <c r="P71" s="30"/>
    </row>
    <row r="72" spans="1:19" ht="13.5" customHeight="1" x14ac:dyDescent="0.2">
      <c r="A72" s="415"/>
      <c r="B72" s="382" t="s">
        <v>118</v>
      </c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4"/>
      <c r="N72" s="257">
        <v>0</v>
      </c>
      <c r="O72" s="322"/>
      <c r="P72" s="30"/>
    </row>
    <row r="73" spans="1:19" ht="13.5" customHeight="1" x14ac:dyDescent="0.2">
      <c r="A73" s="415"/>
      <c r="B73" s="523" t="s">
        <v>120</v>
      </c>
      <c r="C73" s="524"/>
      <c r="D73" s="524"/>
      <c r="E73" s="524"/>
      <c r="F73" s="524"/>
      <c r="G73" s="524"/>
      <c r="H73" s="524"/>
      <c r="I73" s="524"/>
      <c r="J73" s="524"/>
      <c r="K73" s="524"/>
      <c r="L73" s="524"/>
      <c r="M73" s="524"/>
      <c r="N73" s="257">
        <v>0</v>
      </c>
      <c r="O73" s="322"/>
      <c r="P73" s="30"/>
    </row>
    <row r="74" spans="1:19" ht="13.5" customHeight="1" x14ac:dyDescent="0.2">
      <c r="A74" s="415"/>
      <c r="B74" s="523" t="s">
        <v>121</v>
      </c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257">
        <v>0</v>
      </c>
      <c r="O74" s="322"/>
      <c r="P74" s="30"/>
    </row>
    <row r="75" spans="1:19" ht="13.5" customHeight="1" x14ac:dyDescent="0.2">
      <c r="A75" s="415"/>
      <c r="B75" s="523" t="s">
        <v>122</v>
      </c>
      <c r="C75" s="524"/>
      <c r="D75" s="524"/>
      <c r="E75" s="524"/>
      <c r="F75" s="524"/>
      <c r="G75" s="524"/>
      <c r="H75" s="524"/>
      <c r="I75" s="524"/>
      <c r="J75" s="524"/>
      <c r="K75" s="524"/>
      <c r="L75" s="524"/>
      <c r="M75" s="524"/>
      <c r="N75" s="257">
        <v>0</v>
      </c>
      <c r="O75" s="322"/>
      <c r="P75" s="30"/>
    </row>
    <row r="76" spans="1:19" ht="13.5" customHeight="1" x14ac:dyDescent="0.2">
      <c r="A76" s="415"/>
      <c r="B76" s="523" t="s">
        <v>123</v>
      </c>
      <c r="C76" s="524"/>
      <c r="D76" s="524"/>
      <c r="E76" s="524"/>
      <c r="F76" s="524"/>
      <c r="G76" s="524"/>
      <c r="H76" s="524"/>
      <c r="I76" s="524"/>
      <c r="J76" s="524"/>
      <c r="K76" s="524"/>
      <c r="L76" s="524"/>
      <c r="M76" s="524"/>
      <c r="N76" s="257">
        <v>0</v>
      </c>
      <c r="O76" s="322"/>
      <c r="P76" s="30"/>
    </row>
    <row r="77" spans="1:19" ht="13.5" customHeight="1" x14ac:dyDescent="0.2">
      <c r="A77" s="415"/>
      <c r="B77" s="523" t="s">
        <v>124</v>
      </c>
      <c r="C77" s="524"/>
      <c r="D77" s="524"/>
      <c r="E77" s="524"/>
      <c r="F77" s="524"/>
      <c r="G77" s="524"/>
      <c r="H77" s="524"/>
      <c r="I77" s="524"/>
      <c r="J77" s="524"/>
      <c r="K77" s="524"/>
      <c r="L77" s="524"/>
      <c r="M77" s="524"/>
      <c r="N77" s="524"/>
      <c r="O77" s="258">
        <v>0</v>
      </c>
      <c r="P77" s="30"/>
    </row>
    <row r="78" spans="1:19" ht="13.5" customHeight="1" x14ac:dyDescent="0.2">
      <c r="A78" s="415"/>
      <c r="B78" s="382" t="s">
        <v>125</v>
      </c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4"/>
      <c r="O78" s="258">
        <v>0</v>
      </c>
      <c r="P78" s="30"/>
      <c r="Q78" s="14" t="s">
        <v>127</v>
      </c>
    </row>
    <row r="79" spans="1:19" ht="13.5" customHeight="1" x14ac:dyDescent="0.2">
      <c r="A79" s="415"/>
      <c r="B79" s="523" t="s">
        <v>126</v>
      </c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258">
        <v>0</v>
      </c>
      <c r="P79" s="30"/>
    </row>
    <row r="80" spans="1:19" ht="13.5" customHeight="1" x14ac:dyDescent="0.2">
      <c r="A80" s="415"/>
      <c r="B80" s="523" t="s">
        <v>128</v>
      </c>
      <c r="C80" s="524"/>
      <c r="D80" s="524"/>
      <c r="E80" s="524"/>
      <c r="F80" s="524"/>
      <c r="G80" s="524"/>
      <c r="H80" s="524"/>
      <c r="I80" s="524"/>
      <c r="J80" s="524"/>
      <c r="K80" s="524"/>
      <c r="L80" s="524"/>
      <c r="M80" s="524"/>
      <c r="N80" s="524"/>
      <c r="O80" s="258">
        <v>0</v>
      </c>
      <c r="P80" s="30"/>
    </row>
    <row r="81" spans="1:17" ht="13.5" customHeight="1" thickBot="1" x14ac:dyDescent="0.25">
      <c r="A81" s="416"/>
      <c r="B81" s="564" t="s">
        <v>129</v>
      </c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16">
        <v>0</v>
      </c>
      <c r="P81" s="30"/>
      <c r="Q81" s="224" t="s">
        <v>199</v>
      </c>
    </row>
    <row r="82" spans="1:17" ht="18" customHeight="1" thickBot="1" x14ac:dyDescent="0.25">
      <c r="A82" s="540"/>
      <c r="B82" s="540"/>
      <c r="C82" s="540"/>
      <c r="D82" s="540"/>
      <c r="E82" s="540"/>
      <c r="F82" s="540"/>
      <c r="G82" s="540"/>
      <c r="H82" s="540"/>
      <c r="I82" s="540"/>
      <c r="J82" s="540"/>
      <c r="K82" s="540"/>
      <c r="L82" s="540"/>
      <c r="M82" s="540"/>
      <c r="N82" s="540"/>
      <c r="O82" s="540"/>
      <c r="P82" s="31"/>
      <c r="Q82" s="256" t="s">
        <v>130</v>
      </c>
    </row>
    <row r="83" spans="1:17" ht="13.5" customHeight="1" x14ac:dyDescent="0.2">
      <c r="A83" s="414" t="s">
        <v>131</v>
      </c>
      <c r="B83" s="495" t="s">
        <v>132</v>
      </c>
      <c r="C83" s="495"/>
      <c r="D83" s="495"/>
      <c r="E83" s="495"/>
      <c r="F83" s="495"/>
      <c r="G83" s="495"/>
      <c r="H83" s="495"/>
      <c r="I83" s="495"/>
      <c r="J83" s="495"/>
      <c r="K83" s="495"/>
      <c r="L83" s="495"/>
      <c r="M83" s="495"/>
      <c r="N83" s="121" t="s">
        <v>27</v>
      </c>
      <c r="O83" s="347">
        <f>SUM(O84:O86)</f>
        <v>0</v>
      </c>
      <c r="P83" s="147"/>
    </row>
    <row r="84" spans="1:17" ht="13.5" customHeight="1" x14ac:dyDescent="0.2">
      <c r="A84" s="415"/>
      <c r="B84" s="383" t="s">
        <v>133</v>
      </c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4"/>
      <c r="O84" s="15">
        <v>0</v>
      </c>
      <c r="P84" s="30"/>
    </row>
    <row r="85" spans="1:17" ht="13.5" customHeight="1" x14ac:dyDescent="0.2">
      <c r="A85" s="415"/>
      <c r="B85" s="383" t="s">
        <v>134</v>
      </c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4"/>
      <c r="O85" s="9">
        <v>0</v>
      </c>
      <c r="P85" s="30"/>
    </row>
    <row r="86" spans="1:17" ht="13.5" customHeight="1" thickBot="1" x14ac:dyDescent="0.25">
      <c r="A86" s="415"/>
      <c r="B86" s="501" t="s">
        <v>135</v>
      </c>
      <c r="C86" s="501"/>
      <c r="D86" s="501"/>
      <c r="E86" s="501"/>
      <c r="F86" s="501"/>
      <c r="G86" s="501"/>
      <c r="H86" s="501"/>
      <c r="I86" s="501"/>
      <c r="J86" s="501"/>
      <c r="K86" s="501"/>
      <c r="L86" s="501"/>
      <c r="M86" s="501"/>
      <c r="N86" s="502"/>
      <c r="O86" s="10">
        <v>0</v>
      </c>
      <c r="P86" s="30"/>
    </row>
    <row r="87" spans="1:17" ht="13.5" customHeight="1" x14ac:dyDescent="0.2">
      <c r="A87" s="415"/>
      <c r="B87" s="504" t="s">
        <v>136</v>
      </c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121" t="s">
        <v>27</v>
      </c>
      <c r="O87" s="347">
        <f>SUM(O88:O91)</f>
        <v>0</v>
      </c>
      <c r="P87" s="147"/>
    </row>
    <row r="88" spans="1:17" ht="13.5" customHeight="1" x14ac:dyDescent="0.2">
      <c r="A88" s="415"/>
      <c r="B88" s="506" t="s">
        <v>137</v>
      </c>
      <c r="C88" s="506"/>
      <c r="D88" s="506"/>
      <c r="E88" s="506"/>
      <c r="F88" s="506"/>
      <c r="G88" s="506"/>
      <c r="H88" s="506"/>
      <c r="I88" s="506"/>
      <c r="J88" s="506"/>
      <c r="K88" s="506"/>
      <c r="L88" s="506"/>
      <c r="M88" s="506"/>
      <c r="N88" s="507"/>
      <c r="O88" s="11">
        <v>0</v>
      </c>
      <c r="P88" s="30"/>
    </row>
    <row r="89" spans="1:17" ht="13.5" customHeight="1" x14ac:dyDescent="0.2">
      <c r="A89" s="415"/>
      <c r="B89" s="509" t="s">
        <v>138</v>
      </c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10"/>
      <c r="O89" s="13">
        <v>0</v>
      </c>
      <c r="P89" s="30"/>
      <c r="Q89" s="14" t="s">
        <v>139</v>
      </c>
    </row>
    <row r="90" spans="1:17" ht="13.5" customHeight="1" x14ac:dyDescent="0.2">
      <c r="A90" s="415"/>
      <c r="B90" s="383" t="s">
        <v>140</v>
      </c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4"/>
      <c r="O90" s="13">
        <v>0</v>
      </c>
      <c r="P90" s="30"/>
    </row>
    <row r="91" spans="1:17" ht="13.5" customHeight="1" thickBot="1" x14ac:dyDescent="0.25">
      <c r="A91" s="415"/>
      <c r="B91" s="501" t="s">
        <v>141</v>
      </c>
      <c r="C91" s="501"/>
      <c r="D91" s="501"/>
      <c r="E91" s="501"/>
      <c r="F91" s="501"/>
      <c r="G91" s="501"/>
      <c r="H91" s="501"/>
      <c r="I91" s="501"/>
      <c r="J91" s="501"/>
      <c r="K91" s="501"/>
      <c r="L91" s="501"/>
      <c r="M91" s="501"/>
      <c r="N91" s="502"/>
      <c r="O91" s="16">
        <v>0</v>
      </c>
      <c r="P91" s="30"/>
      <c r="Q91" s="14" t="s">
        <v>142</v>
      </c>
    </row>
    <row r="92" spans="1:17" ht="13.5" customHeight="1" x14ac:dyDescent="0.2">
      <c r="A92" s="415"/>
      <c r="B92" s="563" t="s">
        <v>143</v>
      </c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121" t="s">
        <v>27</v>
      </c>
      <c r="O92" s="348">
        <f>SUM(O93:O97)</f>
        <v>0</v>
      </c>
      <c r="P92" s="147"/>
    </row>
    <row r="93" spans="1:17" ht="13.5" customHeight="1" x14ac:dyDescent="0.2">
      <c r="A93" s="415"/>
      <c r="B93" s="388" t="s">
        <v>144</v>
      </c>
      <c r="C93" s="389"/>
      <c r="D93" s="389"/>
      <c r="E93" s="389"/>
      <c r="F93" s="389"/>
      <c r="G93" s="389"/>
      <c r="H93" s="389"/>
      <c r="I93" s="389"/>
      <c r="J93" s="389"/>
      <c r="K93" s="389"/>
      <c r="L93" s="389"/>
      <c r="M93" s="389"/>
      <c r="N93" s="390"/>
      <c r="O93" s="149">
        <v>0</v>
      </c>
      <c r="P93" s="147"/>
      <c r="Q93" s="14" t="s">
        <v>145</v>
      </c>
    </row>
    <row r="94" spans="1:17" ht="13.5" customHeight="1" x14ac:dyDescent="0.2">
      <c r="A94" s="415"/>
      <c r="B94" s="383" t="s">
        <v>146</v>
      </c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4"/>
      <c r="O94" s="13">
        <v>0</v>
      </c>
      <c r="P94" s="30"/>
    </row>
    <row r="95" spans="1:17" ht="13.5" customHeight="1" x14ac:dyDescent="0.2">
      <c r="A95" s="415"/>
      <c r="B95" s="383" t="s">
        <v>147</v>
      </c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4"/>
      <c r="O95" s="12">
        <v>0</v>
      </c>
      <c r="P95" s="30"/>
    </row>
    <row r="96" spans="1:17" ht="13.5" customHeight="1" x14ac:dyDescent="0.2">
      <c r="A96" s="415"/>
      <c r="B96" s="382" t="s">
        <v>148</v>
      </c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4"/>
      <c r="O96" s="12">
        <v>0</v>
      </c>
      <c r="P96" s="30"/>
    </row>
    <row r="97" spans="1:17" ht="13.5" customHeight="1" thickBot="1" x14ac:dyDescent="0.25">
      <c r="A97" s="415"/>
      <c r="B97" s="382" t="s">
        <v>149</v>
      </c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4"/>
      <c r="O97" s="12">
        <v>0</v>
      </c>
      <c r="P97" s="30"/>
    </row>
    <row r="98" spans="1:17" ht="18" customHeight="1" thickBot="1" x14ac:dyDescent="0.25">
      <c r="A98" s="18"/>
      <c r="B98" s="467"/>
      <c r="C98" s="467"/>
      <c r="D98" s="467"/>
      <c r="E98" s="467"/>
      <c r="F98" s="467"/>
      <c r="G98" s="467"/>
      <c r="H98" s="467"/>
      <c r="I98" s="467"/>
      <c r="J98" s="467"/>
      <c r="K98" s="467"/>
      <c r="L98" s="467"/>
      <c r="M98" s="467"/>
      <c r="N98" s="467"/>
      <c r="O98" s="467"/>
      <c r="P98" s="32"/>
    </row>
    <row r="99" spans="1:17" ht="13.5" customHeight="1" x14ac:dyDescent="0.2">
      <c r="A99" s="414" t="s">
        <v>150</v>
      </c>
      <c r="B99" s="469" t="s">
        <v>151</v>
      </c>
      <c r="C99" s="560"/>
      <c r="D99" s="560"/>
      <c r="E99" s="560"/>
      <c r="F99" s="560"/>
      <c r="G99" s="560"/>
      <c r="H99" s="560"/>
      <c r="I99" s="560"/>
      <c r="J99" s="560"/>
      <c r="K99" s="560"/>
      <c r="L99" s="560"/>
      <c r="M99" s="560"/>
      <c r="N99" s="36" t="s">
        <v>152</v>
      </c>
      <c r="O99" s="329">
        <f>J121</f>
        <v>0</v>
      </c>
      <c r="P99" s="30"/>
    </row>
    <row r="100" spans="1:17" ht="44.25" customHeight="1" x14ac:dyDescent="0.2">
      <c r="A100" s="415"/>
      <c r="B100" s="470" t="s">
        <v>153</v>
      </c>
      <c r="C100" s="21" t="s">
        <v>154</v>
      </c>
      <c r="D100" s="21"/>
      <c r="E100" s="21"/>
      <c r="F100" s="473" t="s">
        <v>155</v>
      </c>
      <c r="G100" s="474"/>
      <c r="H100" s="475" t="s">
        <v>156</v>
      </c>
      <c r="I100" s="475"/>
      <c r="J100" s="61" t="s">
        <v>157</v>
      </c>
      <c r="K100" s="242" t="s">
        <v>158</v>
      </c>
      <c r="L100" s="243" t="s">
        <v>159</v>
      </c>
      <c r="M100" s="244" t="s">
        <v>160</v>
      </c>
      <c r="N100" s="367" t="s">
        <v>161</v>
      </c>
      <c r="O100" s="368"/>
    </row>
    <row r="101" spans="1:17" ht="13.5" customHeight="1" x14ac:dyDescent="0.2">
      <c r="A101" s="415"/>
      <c r="B101" s="471"/>
      <c r="C101" s="372">
        <f>'Per1'!C101:E101</f>
        <v>0</v>
      </c>
      <c r="D101" s="373"/>
      <c r="E101" s="374"/>
      <c r="F101" s="393"/>
      <c r="G101" s="393"/>
      <c r="H101" s="393"/>
      <c r="I101" s="393"/>
      <c r="J101" s="330">
        <f>F101+H101</f>
        <v>0</v>
      </c>
      <c r="K101" s="245">
        <f>IF((J101+'Per1'!J101+'Per2'!J101+'Per3'!J101+'Per4'!J101)&lt;=24999,J101, 25000-'Per1'!K101-'Per2'!K101-'Per3'!K101-'Per4'!K101)</f>
        <v>0</v>
      </c>
      <c r="L101" s="331">
        <f>F101+H101-K101</f>
        <v>0</v>
      </c>
      <c r="M101" s="331">
        <f t="shared" ref="M101:M120" si="7">ROUND(IF(($L$7-VLOOKUP($G$123,$I$124:$K$142,3,FALSE))&lt;0,$K101,ROUND((1-($L$7-VLOOKUP($G$123,$I$124:$K$142,3,FALSE))/($L$7 +1 - $L$5))*$K101,0))*M$147,0) +ROUND(IF(($L$7-VLOOKUP($G$123,$I$124:$K$142,3,FALSE))&lt;0,0,ROUND(($L$7-VLOOKUP($G$123,$I$124:$K$142,3,FALSE))/($L$7 +1 - $L$5)*$K101,0))*M$148,0)</f>
        <v>0</v>
      </c>
      <c r="N101" s="365">
        <f>K101+L101+M101</f>
        <v>0</v>
      </c>
      <c r="O101" s="366"/>
    </row>
    <row r="102" spans="1:17" ht="13.5" customHeight="1" x14ac:dyDescent="0.2">
      <c r="A102" s="415"/>
      <c r="B102" s="471"/>
      <c r="C102" s="372">
        <f>'Per1'!C102:E102</f>
        <v>0</v>
      </c>
      <c r="D102" s="373"/>
      <c r="E102" s="374"/>
      <c r="F102" s="393"/>
      <c r="G102" s="393"/>
      <c r="H102" s="393"/>
      <c r="I102" s="393"/>
      <c r="J102" s="330">
        <f t="shared" ref="J102:J120" si="8">F102+H102</f>
        <v>0</v>
      </c>
      <c r="K102" s="245">
        <f>IF((J102+'Per1'!J102+'Per2'!J102+'Per3'!J102+'Per4'!J102)&lt;=24999,J102, 25000-'Per1'!K102-'Per2'!K102-'Per3'!K102-'Per4'!K102)</f>
        <v>0</v>
      </c>
      <c r="L102" s="331">
        <f>F102+H102-K102</f>
        <v>0</v>
      </c>
      <c r="M102" s="331">
        <f t="shared" si="7"/>
        <v>0</v>
      </c>
      <c r="N102" s="365">
        <f t="shared" ref="N102:N120" si="9">K102+L102+M102</f>
        <v>0</v>
      </c>
      <c r="O102" s="366"/>
    </row>
    <row r="103" spans="1:17" ht="13.5" customHeight="1" x14ac:dyDescent="0.2">
      <c r="A103" s="415"/>
      <c r="B103" s="471"/>
      <c r="C103" s="372">
        <f>'Per1'!C103:E103</f>
        <v>0</v>
      </c>
      <c r="D103" s="373"/>
      <c r="E103" s="374"/>
      <c r="F103" s="393"/>
      <c r="G103" s="393"/>
      <c r="H103" s="393"/>
      <c r="I103" s="393"/>
      <c r="J103" s="330">
        <f t="shared" si="8"/>
        <v>0</v>
      </c>
      <c r="K103" s="245">
        <f>IF((J103+'Per1'!J103+'Per2'!J103+'Per3'!J103+'Per4'!J103)&lt;=24999,J103, 25000-'Per1'!K103-'Per2'!K103-'Per3'!K103-'Per4'!K103)</f>
        <v>0</v>
      </c>
      <c r="L103" s="331">
        <f>F103+H103-K103</f>
        <v>0</v>
      </c>
      <c r="M103" s="331">
        <f t="shared" si="7"/>
        <v>0</v>
      </c>
      <c r="N103" s="365">
        <f t="shared" si="9"/>
        <v>0</v>
      </c>
      <c r="O103" s="366"/>
    </row>
    <row r="104" spans="1:17" ht="13.5" customHeight="1" x14ac:dyDescent="0.2">
      <c r="A104" s="415"/>
      <c r="B104" s="471"/>
      <c r="C104" s="372">
        <f>'Per1'!C104:E104</f>
        <v>0</v>
      </c>
      <c r="D104" s="373"/>
      <c r="E104" s="374"/>
      <c r="F104" s="393"/>
      <c r="G104" s="393"/>
      <c r="H104" s="393"/>
      <c r="I104" s="393"/>
      <c r="J104" s="330">
        <f t="shared" si="8"/>
        <v>0</v>
      </c>
      <c r="K104" s="245">
        <f>IF((J104+'Per1'!J104+'Per2'!J104+'Per3'!J104+'Per4'!J104)&lt;=24999,J104, 25000-'Per1'!K104-'Per2'!K104-'Per3'!K104-'Per4'!K104)</f>
        <v>0</v>
      </c>
      <c r="L104" s="331">
        <f>F104+H104-K104</f>
        <v>0</v>
      </c>
      <c r="M104" s="331">
        <f t="shared" si="7"/>
        <v>0</v>
      </c>
      <c r="N104" s="365">
        <f t="shared" si="9"/>
        <v>0</v>
      </c>
      <c r="O104" s="366"/>
    </row>
    <row r="105" spans="1:17" ht="13.5" customHeight="1" x14ac:dyDescent="0.2">
      <c r="A105" s="415"/>
      <c r="B105" s="471"/>
      <c r="C105" s="372">
        <f>'Per1'!C105:E105</f>
        <v>0</v>
      </c>
      <c r="D105" s="373"/>
      <c r="E105" s="374"/>
      <c r="F105" s="375"/>
      <c r="G105" s="375"/>
      <c r="H105" s="375"/>
      <c r="I105" s="375"/>
      <c r="J105" s="332">
        <f t="shared" si="8"/>
        <v>0</v>
      </c>
      <c r="K105" s="245">
        <f>IF((J105+'Per1'!J105+'Per2'!J105+'Per3'!J105+'Per4'!J105)&lt;=24999,J105, 25000-'Per1'!K105-'Per2'!K105-'Per3'!K105-'Per4'!K105)</f>
        <v>0</v>
      </c>
      <c r="L105" s="333">
        <f>F105+H105-K105</f>
        <v>0</v>
      </c>
      <c r="M105" s="331">
        <f t="shared" si="7"/>
        <v>0</v>
      </c>
      <c r="N105" s="561">
        <f t="shared" si="9"/>
        <v>0</v>
      </c>
      <c r="O105" s="562"/>
      <c r="Q105" s="224" t="s">
        <v>162</v>
      </c>
    </row>
    <row r="106" spans="1:17" ht="13.5" customHeight="1" thickBot="1" x14ac:dyDescent="0.25">
      <c r="A106" s="415"/>
      <c r="B106" s="471"/>
      <c r="C106" s="372">
        <f>'Per1'!C106:E106</f>
        <v>0</v>
      </c>
      <c r="D106" s="373"/>
      <c r="E106" s="374"/>
      <c r="F106" s="375"/>
      <c r="G106" s="375"/>
      <c r="H106" s="375"/>
      <c r="I106" s="375"/>
      <c r="J106" s="332">
        <f t="shared" si="8"/>
        <v>0</v>
      </c>
      <c r="K106" s="245">
        <f>IF((J106+'Per1'!J106+'Per2'!J106+'Per3'!J106+'Per4'!J106)&lt;=24999,J106, 25000-'Per1'!K106-'Per2'!K106-'Per3'!K106-'Per4'!K106)</f>
        <v>0</v>
      </c>
      <c r="L106" s="333">
        <f t="shared" ref="L106:L120" si="10">F106+H106-K106</f>
        <v>0</v>
      </c>
      <c r="M106" s="331">
        <f t="shared" si="7"/>
        <v>0</v>
      </c>
      <c r="N106" s="365">
        <f t="shared" si="9"/>
        <v>0</v>
      </c>
      <c r="O106" s="366"/>
    </row>
    <row r="107" spans="1:17" ht="13.5" hidden="1" customHeight="1" x14ac:dyDescent="0.2">
      <c r="A107" s="415"/>
      <c r="B107" s="471"/>
      <c r="C107" s="372">
        <f>'Per1'!C107:E107</f>
        <v>0</v>
      </c>
      <c r="D107" s="373"/>
      <c r="E107" s="374"/>
      <c r="F107" s="375"/>
      <c r="G107" s="375"/>
      <c r="H107" s="375"/>
      <c r="I107" s="375"/>
      <c r="J107" s="332">
        <f t="shared" si="8"/>
        <v>0</v>
      </c>
      <c r="K107" s="245">
        <f>IF((J107+'Per1'!J107+'Per2'!J107+'Per3'!J107+'Per4'!J107)&lt;=24999,J107, 25000-'Per1'!K107-'Per2'!K107-'Per3'!K107-'Per4'!K107)</f>
        <v>0</v>
      </c>
      <c r="L107" s="333">
        <f t="shared" si="10"/>
        <v>0</v>
      </c>
      <c r="M107" s="331">
        <f t="shared" si="7"/>
        <v>0</v>
      </c>
      <c r="N107" s="365">
        <f t="shared" si="9"/>
        <v>0</v>
      </c>
      <c r="O107" s="366"/>
    </row>
    <row r="108" spans="1:17" ht="13.5" hidden="1" customHeight="1" x14ac:dyDescent="0.2">
      <c r="A108" s="415"/>
      <c r="B108" s="471"/>
      <c r="C108" s="372">
        <f>'Per1'!C108:E108</f>
        <v>0</v>
      </c>
      <c r="D108" s="373"/>
      <c r="E108" s="374"/>
      <c r="F108" s="375"/>
      <c r="G108" s="375"/>
      <c r="H108" s="375"/>
      <c r="I108" s="375"/>
      <c r="J108" s="332">
        <f t="shared" si="8"/>
        <v>0</v>
      </c>
      <c r="K108" s="245">
        <f>IF((J108+'Per1'!J108+'Per2'!J108+'Per3'!J108+'Per4'!J108)&lt;=24999,J108, 25000-'Per1'!K108-'Per2'!K108-'Per3'!K108-'Per4'!K108)</f>
        <v>0</v>
      </c>
      <c r="L108" s="333">
        <f t="shared" si="10"/>
        <v>0</v>
      </c>
      <c r="M108" s="331">
        <f t="shared" si="7"/>
        <v>0</v>
      </c>
      <c r="N108" s="365">
        <f t="shared" si="9"/>
        <v>0</v>
      </c>
      <c r="O108" s="366"/>
    </row>
    <row r="109" spans="1:17" ht="13.5" hidden="1" customHeight="1" x14ac:dyDescent="0.2">
      <c r="A109" s="415"/>
      <c r="B109" s="471"/>
      <c r="C109" s="372">
        <f>'Per1'!C109:E109</f>
        <v>0</v>
      </c>
      <c r="D109" s="373"/>
      <c r="E109" s="374"/>
      <c r="F109" s="375"/>
      <c r="G109" s="375"/>
      <c r="H109" s="375"/>
      <c r="I109" s="375"/>
      <c r="J109" s="332">
        <f t="shared" si="8"/>
        <v>0</v>
      </c>
      <c r="K109" s="245">
        <f>IF((J109+'Per1'!J109+'Per2'!J109+'Per3'!J109+'Per4'!J109)&lt;=24999,J109, 25000-'Per1'!K109-'Per2'!K109-'Per3'!K109-'Per4'!K109)</f>
        <v>0</v>
      </c>
      <c r="L109" s="333">
        <f t="shared" si="10"/>
        <v>0</v>
      </c>
      <c r="M109" s="331">
        <f t="shared" si="7"/>
        <v>0</v>
      </c>
      <c r="N109" s="365">
        <f t="shared" si="9"/>
        <v>0</v>
      </c>
      <c r="O109" s="366"/>
    </row>
    <row r="110" spans="1:17" ht="13.5" hidden="1" customHeight="1" x14ac:dyDescent="0.2">
      <c r="A110" s="415"/>
      <c r="B110" s="471"/>
      <c r="C110" s="372">
        <f>'Per1'!C110:E110</f>
        <v>0</v>
      </c>
      <c r="D110" s="373"/>
      <c r="E110" s="374"/>
      <c r="F110" s="375"/>
      <c r="G110" s="375"/>
      <c r="H110" s="375"/>
      <c r="I110" s="375"/>
      <c r="J110" s="332">
        <f t="shared" si="8"/>
        <v>0</v>
      </c>
      <c r="K110" s="245">
        <f>IF((J110+'Per1'!J110+'Per2'!J110+'Per3'!J110+'Per4'!J110)&lt;=24999,J110, 25000-'Per1'!K110-'Per2'!K110-'Per3'!K110-'Per4'!K110)</f>
        <v>0</v>
      </c>
      <c r="L110" s="333">
        <f t="shared" si="10"/>
        <v>0</v>
      </c>
      <c r="M110" s="331">
        <f t="shared" si="7"/>
        <v>0</v>
      </c>
      <c r="N110" s="365">
        <f t="shared" si="9"/>
        <v>0</v>
      </c>
      <c r="O110" s="366"/>
    </row>
    <row r="111" spans="1:17" ht="13.5" hidden="1" customHeight="1" x14ac:dyDescent="0.2">
      <c r="A111" s="415"/>
      <c r="B111" s="471"/>
      <c r="C111" s="372">
        <f>'Per1'!C111:E111</f>
        <v>0</v>
      </c>
      <c r="D111" s="373"/>
      <c r="E111" s="374"/>
      <c r="F111" s="375"/>
      <c r="G111" s="375"/>
      <c r="H111" s="375"/>
      <c r="I111" s="375"/>
      <c r="J111" s="332">
        <f t="shared" si="8"/>
        <v>0</v>
      </c>
      <c r="K111" s="245">
        <f>IF((J111+'Per1'!J111+'Per2'!J111+'Per3'!J111+'Per4'!J111)&lt;=24999,J111, 25000-'Per1'!K111-'Per2'!K111-'Per3'!K111-'Per4'!K111)</f>
        <v>0</v>
      </c>
      <c r="L111" s="333">
        <f t="shared" si="10"/>
        <v>0</v>
      </c>
      <c r="M111" s="331">
        <f t="shared" si="7"/>
        <v>0</v>
      </c>
      <c r="N111" s="365">
        <f t="shared" si="9"/>
        <v>0</v>
      </c>
      <c r="O111" s="366"/>
    </row>
    <row r="112" spans="1:17" ht="13.5" hidden="1" customHeight="1" x14ac:dyDescent="0.2">
      <c r="A112" s="415"/>
      <c r="B112" s="471"/>
      <c r="C112" s="372">
        <f>'Per1'!C112:E112</f>
        <v>0</v>
      </c>
      <c r="D112" s="373"/>
      <c r="E112" s="374"/>
      <c r="F112" s="375"/>
      <c r="G112" s="375"/>
      <c r="H112" s="375"/>
      <c r="I112" s="375"/>
      <c r="J112" s="332">
        <f t="shared" si="8"/>
        <v>0</v>
      </c>
      <c r="K112" s="245">
        <f>IF((J112+'Per1'!J112+'Per2'!J112+'Per3'!J112+'Per4'!J112)&lt;=24999,J112, 25000-'Per1'!K112-'Per2'!K112-'Per3'!K112-'Per4'!K112)</f>
        <v>0</v>
      </c>
      <c r="L112" s="333">
        <f t="shared" si="10"/>
        <v>0</v>
      </c>
      <c r="M112" s="331">
        <f t="shared" si="7"/>
        <v>0</v>
      </c>
      <c r="N112" s="365">
        <f t="shared" si="9"/>
        <v>0</v>
      </c>
      <c r="O112" s="366"/>
    </row>
    <row r="113" spans="1:16" ht="13.5" hidden="1" customHeight="1" x14ac:dyDescent="0.2">
      <c r="A113" s="415"/>
      <c r="B113" s="471"/>
      <c r="C113" s="372">
        <f>'Per1'!C113:E113</f>
        <v>0</v>
      </c>
      <c r="D113" s="373"/>
      <c r="E113" s="374"/>
      <c r="F113" s="375"/>
      <c r="G113" s="375"/>
      <c r="H113" s="375"/>
      <c r="I113" s="375"/>
      <c r="J113" s="332">
        <f t="shared" si="8"/>
        <v>0</v>
      </c>
      <c r="K113" s="245">
        <f>IF((J113+'Per1'!J113+'Per2'!J113+'Per3'!J113+'Per4'!J113)&lt;=24999,J113, 25000-'Per1'!K113-'Per2'!K113-'Per3'!K113-'Per4'!K113)</f>
        <v>0</v>
      </c>
      <c r="L113" s="333">
        <f t="shared" si="10"/>
        <v>0</v>
      </c>
      <c r="M113" s="331">
        <f t="shared" si="7"/>
        <v>0</v>
      </c>
      <c r="N113" s="365">
        <f t="shared" si="9"/>
        <v>0</v>
      </c>
      <c r="O113" s="366"/>
    </row>
    <row r="114" spans="1:16" ht="13.5" hidden="1" customHeight="1" x14ac:dyDescent="0.2">
      <c r="A114" s="415"/>
      <c r="B114" s="471"/>
      <c r="C114" s="372">
        <f>'Per1'!C114:E114</f>
        <v>0</v>
      </c>
      <c r="D114" s="373"/>
      <c r="E114" s="374"/>
      <c r="F114" s="375"/>
      <c r="G114" s="375"/>
      <c r="H114" s="375"/>
      <c r="I114" s="375"/>
      <c r="J114" s="332">
        <f t="shared" si="8"/>
        <v>0</v>
      </c>
      <c r="K114" s="245">
        <f>IF((J114+'Per1'!J114+'Per2'!J114+'Per3'!J114+'Per4'!J114)&lt;=24999,J114, 25000-'Per1'!K114-'Per2'!K114-'Per3'!K114-'Per4'!K114)</f>
        <v>0</v>
      </c>
      <c r="L114" s="333">
        <f t="shared" si="10"/>
        <v>0</v>
      </c>
      <c r="M114" s="331">
        <f t="shared" si="7"/>
        <v>0</v>
      </c>
      <c r="N114" s="365">
        <f t="shared" si="9"/>
        <v>0</v>
      </c>
      <c r="O114" s="366"/>
    </row>
    <row r="115" spans="1:16" ht="13.5" hidden="1" customHeight="1" x14ac:dyDescent="0.2">
      <c r="A115" s="415"/>
      <c r="B115" s="471"/>
      <c r="C115" s="372">
        <f>'Per1'!C115:E115</f>
        <v>0</v>
      </c>
      <c r="D115" s="373"/>
      <c r="E115" s="374"/>
      <c r="F115" s="375"/>
      <c r="G115" s="375"/>
      <c r="H115" s="375"/>
      <c r="I115" s="375"/>
      <c r="J115" s="332">
        <f t="shared" si="8"/>
        <v>0</v>
      </c>
      <c r="K115" s="245">
        <f>IF((J115+'Per1'!J115+'Per2'!J115+'Per3'!J115+'Per4'!J115)&lt;=24999,J115, 25000-'Per1'!K115-'Per2'!K115-'Per3'!K115-'Per4'!K115)</f>
        <v>0</v>
      </c>
      <c r="L115" s="333">
        <f t="shared" si="10"/>
        <v>0</v>
      </c>
      <c r="M115" s="331">
        <f t="shared" si="7"/>
        <v>0</v>
      </c>
      <c r="N115" s="365">
        <f t="shared" si="9"/>
        <v>0</v>
      </c>
      <c r="O115" s="366"/>
    </row>
    <row r="116" spans="1:16" ht="13.5" hidden="1" customHeight="1" x14ac:dyDescent="0.2">
      <c r="A116" s="415"/>
      <c r="B116" s="471"/>
      <c r="C116" s="372">
        <f>'Per1'!C116:E116</f>
        <v>0</v>
      </c>
      <c r="D116" s="373"/>
      <c r="E116" s="374"/>
      <c r="F116" s="375"/>
      <c r="G116" s="375"/>
      <c r="H116" s="375"/>
      <c r="I116" s="375"/>
      <c r="J116" s="332">
        <f t="shared" si="8"/>
        <v>0</v>
      </c>
      <c r="K116" s="245">
        <f>IF((J116+'Per1'!J116+'Per2'!J116+'Per3'!J116+'Per4'!J116)&lt;=24999,J116, 25000-'Per1'!K116-'Per2'!K116-'Per3'!K116-'Per4'!K116)</f>
        <v>0</v>
      </c>
      <c r="L116" s="333">
        <f t="shared" si="10"/>
        <v>0</v>
      </c>
      <c r="M116" s="331">
        <f t="shared" si="7"/>
        <v>0</v>
      </c>
      <c r="N116" s="365">
        <f t="shared" si="9"/>
        <v>0</v>
      </c>
      <c r="O116" s="366"/>
    </row>
    <row r="117" spans="1:16" ht="13.5" hidden="1" customHeight="1" x14ac:dyDescent="0.2">
      <c r="A117" s="415"/>
      <c r="B117" s="471"/>
      <c r="C117" s="372">
        <f>'Per1'!C117:E117</f>
        <v>0</v>
      </c>
      <c r="D117" s="373"/>
      <c r="E117" s="374"/>
      <c r="F117" s="375"/>
      <c r="G117" s="375"/>
      <c r="H117" s="375"/>
      <c r="I117" s="375"/>
      <c r="J117" s="332">
        <f t="shared" si="8"/>
        <v>0</v>
      </c>
      <c r="K117" s="245">
        <f>IF((J117+'Per1'!J117+'Per2'!J117+'Per3'!J117+'Per4'!J117)&lt;=24999,J117, 25000-'Per1'!K117-'Per2'!K117-'Per3'!K117-'Per4'!K117)</f>
        <v>0</v>
      </c>
      <c r="L117" s="333">
        <f t="shared" si="10"/>
        <v>0</v>
      </c>
      <c r="M117" s="331">
        <f t="shared" si="7"/>
        <v>0</v>
      </c>
      <c r="N117" s="365">
        <f t="shared" si="9"/>
        <v>0</v>
      </c>
      <c r="O117" s="366"/>
    </row>
    <row r="118" spans="1:16" ht="13.5" hidden="1" customHeight="1" x14ac:dyDescent="0.2">
      <c r="A118" s="415"/>
      <c r="B118" s="471"/>
      <c r="C118" s="372">
        <f>'Per1'!C118:E118</f>
        <v>0</v>
      </c>
      <c r="D118" s="373"/>
      <c r="E118" s="374"/>
      <c r="F118" s="375"/>
      <c r="G118" s="375"/>
      <c r="H118" s="375"/>
      <c r="I118" s="375"/>
      <c r="J118" s="332">
        <f t="shared" si="8"/>
        <v>0</v>
      </c>
      <c r="K118" s="245">
        <f>IF((J118+'Per1'!J118+'Per2'!J118+'Per3'!J118+'Per4'!J118)&lt;=24999,J118, 25000-'Per1'!K118-'Per2'!K118-'Per3'!K118-'Per4'!K118)</f>
        <v>0</v>
      </c>
      <c r="L118" s="333">
        <f t="shared" si="10"/>
        <v>0</v>
      </c>
      <c r="M118" s="331">
        <f t="shared" si="7"/>
        <v>0</v>
      </c>
      <c r="N118" s="365">
        <f t="shared" si="9"/>
        <v>0</v>
      </c>
      <c r="O118" s="366"/>
    </row>
    <row r="119" spans="1:16" ht="13.5" hidden="1" customHeight="1" x14ac:dyDescent="0.2">
      <c r="A119" s="415"/>
      <c r="B119" s="471"/>
      <c r="C119" s="372">
        <f>'Per1'!C119:E119</f>
        <v>0</v>
      </c>
      <c r="D119" s="373"/>
      <c r="E119" s="374"/>
      <c r="F119" s="375"/>
      <c r="G119" s="375"/>
      <c r="H119" s="375"/>
      <c r="I119" s="375"/>
      <c r="J119" s="332">
        <f t="shared" si="8"/>
        <v>0</v>
      </c>
      <c r="K119" s="245">
        <f>IF((J119+'Per1'!J119+'Per2'!J119+'Per3'!J119+'Per4'!J119)&lt;=24999,J119, 25000-'Per1'!K119-'Per2'!K119-'Per3'!K119-'Per4'!K119)</f>
        <v>0</v>
      </c>
      <c r="L119" s="333">
        <f t="shared" si="10"/>
        <v>0</v>
      </c>
      <c r="M119" s="331">
        <f t="shared" si="7"/>
        <v>0</v>
      </c>
      <c r="N119" s="365">
        <f t="shared" si="9"/>
        <v>0</v>
      </c>
      <c r="O119" s="366"/>
    </row>
    <row r="120" spans="1:16" ht="13.5" hidden="1" customHeight="1" thickBot="1" x14ac:dyDescent="0.25">
      <c r="A120" s="415"/>
      <c r="B120" s="471"/>
      <c r="C120" s="372">
        <f>'Per1'!C120:E120</f>
        <v>0</v>
      </c>
      <c r="D120" s="373"/>
      <c r="E120" s="374"/>
      <c r="F120" s="375"/>
      <c r="G120" s="375"/>
      <c r="H120" s="375"/>
      <c r="I120" s="375"/>
      <c r="J120" s="332">
        <f t="shared" si="8"/>
        <v>0</v>
      </c>
      <c r="K120" s="245">
        <f>IF((J120+'Per1'!J120+'Per2'!J120+'Per3'!J120+'Per4'!J120)&lt;=24999,J120, 25000-'Per1'!K120-'Per2'!K120-'Per3'!K120-'Per4'!K120)</f>
        <v>0</v>
      </c>
      <c r="L120" s="333">
        <f t="shared" si="10"/>
        <v>0</v>
      </c>
      <c r="M120" s="331">
        <f t="shared" si="7"/>
        <v>0</v>
      </c>
      <c r="N120" s="479">
        <f t="shared" si="9"/>
        <v>0</v>
      </c>
      <c r="O120" s="480"/>
    </row>
    <row r="121" spans="1:16" ht="13.5" customHeight="1" thickBot="1" x14ac:dyDescent="0.25">
      <c r="A121" s="416"/>
      <c r="B121" s="472"/>
      <c r="C121" s="436" t="s">
        <v>163</v>
      </c>
      <c r="D121" s="436"/>
      <c r="E121" s="437"/>
      <c r="F121" s="379">
        <f>SUM(F101:G120)</f>
        <v>0</v>
      </c>
      <c r="G121" s="379"/>
      <c r="H121" s="379">
        <f>SUM(H101:I120)</f>
        <v>0</v>
      </c>
      <c r="I121" s="379"/>
      <c r="J121" s="334">
        <f>SUM(J101:J120)</f>
        <v>0</v>
      </c>
      <c r="K121" s="247">
        <f>SUM(K101:K120)</f>
        <v>0</v>
      </c>
      <c r="L121" s="335">
        <f>SUM(L101:L120)</f>
        <v>0</v>
      </c>
      <c r="M121" s="336">
        <f>SUM(M101:M120)</f>
        <v>0</v>
      </c>
      <c r="N121" s="248"/>
      <c r="O121" s="249"/>
    </row>
    <row r="122" spans="1:16" ht="18" hidden="1" customHeight="1" x14ac:dyDescent="0.2">
      <c r="A122" s="417"/>
      <c r="B122" s="417"/>
      <c r="C122" s="417"/>
      <c r="D122" s="417"/>
      <c r="E122" s="417"/>
      <c r="F122" s="417"/>
      <c r="G122" s="417"/>
      <c r="H122" s="417"/>
      <c r="I122" s="417"/>
      <c r="J122" s="417"/>
      <c r="K122" s="417"/>
      <c r="L122" s="417"/>
      <c r="M122" s="417"/>
      <c r="N122" s="396"/>
      <c r="O122" s="396"/>
      <c r="P122" s="31"/>
    </row>
    <row r="123" spans="1:16" ht="18" hidden="1" customHeight="1" x14ac:dyDescent="0.2">
      <c r="A123" s="124"/>
      <c r="B123" s="125"/>
      <c r="C123" s="218"/>
      <c r="D123" s="218"/>
      <c r="E123" s="218"/>
      <c r="F123" s="219" t="s">
        <v>164</v>
      </c>
      <c r="G123" s="218">
        <f>IF(MONTH(L5)&lt;9,YEAR(L5),YEAR(L5)+1)</f>
        <v>2029</v>
      </c>
      <c r="H123" s="218"/>
      <c r="I123" s="219" t="s">
        <v>165</v>
      </c>
      <c r="J123" s="219" t="s">
        <v>166</v>
      </c>
      <c r="K123" s="219" t="s">
        <v>167</v>
      </c>
      <c r="L123" s="124"/>
      <c r="M123" s="124"/>
      <c r="N123" s="124"/>
      <c r="O123" s="124"/>
      <c r="P123" s="31"/>
    </row>
    <row r="124" spans="1:16" ht="18" hidden="1" customHeight="1" x14ac:dyDescent="0.2">
      <c r="A124" s="124"/>
      <c r="B124" s="125"/>
      <c r="C124" s="218"/>
      <c r="D124" s="218"/>
      <c r="E124" s="218"/>
      <c r="F124" s="218"/>
      <c r="G124" s="218"/>
      <c r="H124" s="218"/>
      <c r="I124" s="218">
        <v>2018</v>
      </c>
      <c r="J124" s="218">
        <v>0.47</v>
      </c>
      <c r="K124" s="220">
        <f>DATE(I124,8,31)</f>
        <v>43343</v>
      </c>
      <c r="L124" s="124"/>
      <c r="M124" s="124"/>
      <c r="N124" s="124"/>
      <c r="O124" s="124"/>
      <c r="P124" s="31"/>
    </row>
    <row r="125" spans="1:16" ht="18" hidden="1" customHeight="1" x14ac:dyDescent="0.2">
      <c r="A125" s="124"/>
      <c r="B125" s="125"/>
      <c r="C125" s="218"/>
      <c r="D125" s="218"/>
      <c r="E125" s="218"/>
      <c r="F125" s="218"/>
      <c r="G125" s="218"/>
      <c r="H125" s="218"/>
      <c r="I125" s="218">
        <v>2019</v>
      </c>
      <c r="J125" s="218">
        <v>0.49</v>
      </c>
      <c r="K125" s="220">
        <f t="shared" ref="K125:K142" si="11">DATE(I125,8,31)</f>
        <v>43708</v>
      </c>
      <c r="L125" s="124"/>
      <c r="M125" s="124"/>
      <c r="N125" s="124"/>
      <c r="O125" s="124"/>
      <c r="P125" s="31"/>
    </row>
    <row r="126" spans="1:16" ht="18" hidden="1" customHeight="1" x14ac:dyDescent="0.2">
      <c r="A126" s="124"/>
      <c r="B126" s="125"/>
      <c r="C126" s="218"/>
      <c r="D126" s="218"/>
      <c r="E126" s="218"/>
      <c r="F126" s="218"/>
      <c r="G126" s="218"/>
      <c r="H126" s="218"/>
      <c r="I126" s="218">
        <v>2020</v>
      </c>
      <c r="J126" s="218">
        <v>0.495</v>
      </c>
      <c r="K126" s="220">
        <f t="shared" si="11"/>
        <v>44074</v>
      </c>
      <c r="L126" s="124"/>
      <c r="M126" s="124"/>
      <c r="N126" s="124"/>
      <c r="O126" s="124"/>
      <c r="P126" s="31"/>
    </row>
    <row r="127" spans="1:16" ht="18" hidden="1" customHeight="1" x14ac:dyDescent="0.2">
      <c r="A127" s="124"/>
      <c r="B127" s="125"/>
      <c r="C127" s="218"/>
      <c r="D127" s="218"/>
      <c r="E127" s="218"/>
      <c r="F127" s="218"/>
      <c r="G127" s="218"/>
      <c r="H127" s="218"/>
      <c r="I127" s="218">
        <v>2021</v>
      </c>
      <c r="J127" s="218">
        <v>0.5</v>
      </c>
      <c r="K127" s="220">
        <f t="shared" si="11"/>
        <v>44439</v>
      </c>
      <c r="L127" s="124"/>
      <c r="M127" s="124"/>
      <c r="N127" s="124"/>
      <c r="O127" s="124"/>
      <c r="P127" s="31"/>
    </row>
    <row r="128" spans="1:16" ht="18" hidden="1" customHeight="1" x14ac:dyDescent="0.2">
      <c r="A128" s="124"/>
      <c r="B128" s="125"/>
      <c r="C128" s="218"/>
      <c r="D128" s="218"/>
      <c r="E128" s="218"/>
      <c r="F128" s="218"/>
      <c r="G128" s="218"/>
      <c r="H128" s="218"/>
      <c r="I128" s="218">
        <v>2022</v>
      </c>
      <c r="J128" s="218">
        <v>0.5</v>
      </c>
      <c r="K128" s="220">
        <f t="shared" si="11"/>
        <v>44804</v>
      </c>
      <c r="L128" s="124"/>
      <c r="M128" s="124"/>
      <c r="N128" s="124"/>
      <c r="O128" s="124"/>
      <c r="P128" s="31"/>
    </row>
    <row r="129" spans="1:17" ht="18" hidden="1" customHeight="1" x14ac:dyDescent="0.2">
      <c r="A129" s="124"/>
      <c r="B129" s="125"/>
      <c r="C129" s="218"/>
      <c r="D129" s="218"/>
      <c r="E129" s="218"/>
      <c r="F129" s="218"/>
      <c r="G129" s="218"/>
      <c r="H129" s="218"/>
      <c r="I129" s="218">
        <v>2023</v>
      </c>
      <c r="J129" s="218">
        <v>0.5</v>
      </c>
      <c r="K129" s="220">
        <f t="shared" si="11"/>
        <v>45169</v>
      </c>
      <c r="L129" s="124"/>
      <c r="M129" s="124"/>
      <c r="N129" s="124"/>
      <c r="O129" s="124"/>
      <c r="P129" s="31"/>
    </row>
    <row r="130" spans="1:17" ht="18" hidden="1" customHeight="1" x14ac:dyDescent="0.2">
      <c r="A130" s="124"/>
      <c r="B130" s="125"/>
      <c r="C130" s="218"/>
      <c r="D130" s="218"/>
      <c r="E130" s="218"/>
      <c r="F130" s="218"/>
      <c r="G130" s="218"/>
      <c r="H130" s="218"/>
      <c r="I130" s="218">
        <v>2024</v>
      </c>
      <c r="J130" s="218">
        <v>0.5</v>
      </c>
      <c r="K130" s="220">
        <f t="shared" si="11"/>
        <v>45535</v>
      </c>
      <c r="L130" s="124"/>
      <c r="M130" s="124"/>
      <c r="N130" s="124"/>
      <c r="O130" s="124"/>
      <c r="P130" s="31"/>
    </row>
    <row r="131" spans="1:17" ht="18" hidden="1" customHeight="1" x14ac:dyDescent="0.2">
      <c r="A131" s="124"/>
      <c r="B131" s="125"/>
      <c r="C131" s="218"/>
      <c r="D131" s="218"/>
      <c r="E131" s="218"/>
      <c r="F131" s="218"/>
      <c r="G131" s="218"/>
      <c r="H131" s="218"/>
      <c r="I131" s="218">
        <v>2025</v>
      </c>
      <c r="J131" s="218">
        <v>0.5</v>
      </c>
      <c r="K131" s="220">
        <f t="shared" si="11"/>
        <v>45900</v>
      </c>
      <c r="L131" s="124"/>
      <c r="M131" s="124"/>
      <c r="N131" s="124"/>
      <c r="O131" s="124"/>
      <c r="P131" s="31"/>
    </row>
    <row r="132" spans="1:17" ht="18" hidden="1" customHeight="1" x14ac:dyDescent="0.2">
      <c r="A132" s="124"/>
      <c r="B132" s="125"/>
      <c r="C132" s="218"/>
      <c r="D132" s="218"/>
      <c r="E132" s="218"/>
      <c r="F132" s="218"/>
      <c r="G132" s="218"/>
      <c r="H132" s="218"/>
      <c r="I132" s="218">
        <v>2026</v>
      </c>
      <c r="J132" s="218">
        <v>0.5</v>
      </c>
      <c r="K132" s="220">
        <f t="shared" si="11"/>
        <v>46265</v>
      </c>
      <c r="L132" s="124"/>
      <c r="M132" s="124"/>
      <c r="N132" s="124"/>
      <c r="O132" s="124"/>
      <c r="P132" s="31"/>
    </row>
    <row r="133" spans="1:17" ht="18" hidden="1" customHeight="1" x14ac:dyDescent="0.2">
      <c r="A133" s="124"/>
      <c r="B133" s="125"/>
      <c r="C133" s="218"/>
      <c r="D133" s="218"/>
      <c r="E133" s="218"/>
      <c r="F133" s="218"/>
      <c r="G133" s="218"/>
      <c r="H133" s="218"/>
      <c r="I133" s="218">
        <v>2027</v>
      </c>
      <c r="J133" s="218">
        <v>0.5</v>
      </c>
      <c r="K133" s="220">
        <f t="shared" si="11"/>
        <v>46630</v>
      </c>
      <c r="L133" s="124"/>
      <c r="M133" s="124"/>
      <c r="N133" s="124"/>
      <c r="O133" s="124"/>
      <c r="P133" s="31"/>
    </row>
    <row r="134" spans="1:17" ht="18" hidden="1" customHeight="1" x14ac:dyDescent="0.2">
      <c r="A134" s="124"/>
      <c r="B134" s="125"/>
      <c r="C134" s="218"/>
      <c r="D134" s="218"/>
      <c r="E134" s="218"/>
      <c r="F134" s="218"/>
      <c r="G134" s="218"/>
      <c r="H134" s="218"/>
      <c r="I134" s="218">
        <v>2028</v>
      </c>
      <c r="J134" s="218">
        <v>0.5</v>
      </c>
      <c r="K134" s="220">
        <f t="shared" si="11"/>
        <v>46996</v>
      </c>
      <c r="L134" s="124"/>
      <c r="M134" s="124"/>
      <c r="N134" s="124"/>
      <c r="O134" s="124"/>
      <c r="P134" s="31"/>
    </row>
    <row r="135" spans="1:17" ht="18" hidden="1" customHeight="1" x14ac:dyDescent="0.2">
      <c r="A135" s="124"/>
      <c r="B135" s="125"/>
      <c r="C135" s="218"/>
      <c r="D135" s="218"/>
      <c r="E135" s="218"/>
      <c r="F135" s="218"/>
      <c r="G135" s="218"/>
      <c r="H135" s="218"/>
      <c r="I135" s="218">
        <v>2029</v>
      </c>
      <c r="J135" s="218">
        <v>0.5</v>
      </c>
      <c r="K135" s="220">
        <f t="shared" si="11"/>
        <v>47361</v>
      </c>
      <c r="L135" s="124"/>
      <c r="M135" s="124"/>
      <c r="N135" s="124"/>
      <c r="O135" s="124"/>
      <c r="P135" s="31"/>
    </row>
    <row r="136" spans="1:17" ht="18" hidden="1" customHeight="1" x14ac:dyDescent="0.2">
      <c r="A136" s="124"/>
      <c r="B136" s="125"/>
      <c r="C136" s="218"/>
      <c r="D136" s="218"/>
      <c r="E136" s="218"/>
      <c r="F136" s="218"/>
      <c r="G136" s="218"/>
      <c r="H136" s="218"/>
      <c r="I136" s="218">
        <v>2030</v>
      </c>
      <c r="J136" s="218">
        <v>0.5</v>
      </c>
      <c r="K136" s="220">
        <f t="shared" si="11"/>
        <v>47726</v>
      </c>
      <c r="L136" s="124"/>
      <c r="M136" s="124"/>
      <c r="N136" s="124"/>
      <c r="O136" s="124"/>
      <c r="P136" s="31"/>
    </row>
    <row r="137" spans="1:17" ht="18" hidden="1" customHeight="1" x14ac:dyDescent="0.2">
      <c r="A137" s="124"/>
      <c r="B137" s="125"/>
      <c r="C137" s="218"/>
      <c r="D137" s="218"/>
      <c r="E137" s="218"/>
      <c r="F137" s="218"/>
      <c r="G137" s="218"/>
      <c r="H137" s="218"/>
      <c r="I137" s="218">
        <v>2031</v>
      </c>
      <c r="J137" s="218">
        <v>0.5</v>
      </c>
      <c r="K137" s="220">
        <f t="shared" si="11"/>
        <v>48091</v>
      </c>
      <c r="L137" s="124"/>
      <c r="M137" s="124"/>
      <c r="N137" s="124"/>
      <c r="O137" s="124"/>
      <c r="P137" s="31"/>
    </row>
    <row r="138" spans="1:17" ht="18" hidden="1" customHeight="1" x14ac:dyDescent="0.2">
      <c r="A138" s="124"/>
      <c r="B138" s="125"/>
      <c r="C138" s="218"/>
      <c r="D138" s="218"/>
      <c r="E138" s="218"/>
      <c r="F138" s="218"/>
      <c r="G138" s="218"/>
      <c r="H138" s="218"/>
      <c r="I138" s="218">
        <v>2032</v>
      </c>
      <c r="J138" s="218">
        <v>0.5</v>
      </c>
      <c r="K138" s="220">
        <f t="shared" si="11"/>
        <v>48457</v>
      </c>
      <c r="L138" s="124"/>
      <c r="M138" s="124"/>
      <c r="N138" s="124"/>
      <c r="O138" s="124"/>
      <c r="P138" s="31"/>
    </row>
    <row r="139" spans="1:17" ht="18" hidden="1" customHeight="1" x14ac:dyDescent="0.2">
      <c r="A139" s="124"/>
      <c r="B139" s="125"/>
      <c r="C139" s="218"/>
      <c r="D139" s="218"/>
      <c r="E139" s="218"/>
      <c r="F139" s="218"/>
      <c r="G139" s="218"/>
      <c r="H139" s="218"/>
      <c r="I139" s="218">
        <v>2033</v>
      </c>
      <c r="J139" s="218">
        <v>0.5</v>
      </c>
      <c r="K139" s="220">
        <f t="shared" si="11"/>
        <v>48822</v>
      </c>
      <c r="L139" s="124"/>
      <c r="M139" s="124"/>
      <c r="N139" s="124"/>
      <c r="O139" s="124"/>
      <c r="P139" s="31"/>
    </row>
    <row r="140" spans="1:17" ht="18" hidden="1" customHeight="1" x14ac:dyDescent="0.2">
      <c r="A140" s="124"/>
      <c r="B140" s="125"/>
      <c r="C140" s="218"/>
      <c r="D140" s="218"/>
      <c r="E140" s="218"/>
      <c r="F140" s="218"/>
      <c r="G140" s="218"/>
      <c r="H140" s="218"/>
      <c r="I140" s="218">
        <v>2034</v>
      </c>
      <c r="J140" s="218">
        <v>0.5</v>
      </c>
      <c r="K140" s="220">
        <f t="shared" si="11"/>
        <v>49187</v>
      </c>
      <c r="L140" s="124"/>
      <c r="M140" s="124"/>
      <c r="N140" s="124"/>
      <c r="O140" s="124"/>
      <c r="P140" s="31"/>
    </row>
    <row r="141" spans="1:17" ht="18" hidden="1" customHeight="1" x14ac:dyDescent="0.2">
      <c r="A141" s="124"/>
      <c r="B141" s="125"/>
      <c r="C141" s="218"/>
      <c r="D141" s="218"/>
      <c r="E141" s="218"/>
      <c r="F141" s="218"/>
      <c r="G141" s="218"/>
      <c r="H141" s="218"/>
      <c r="I141" s="218">
        <v>2035</v>
      </c>
      <c r="J141" s="218">
        <v>0.5</v>
      </c>
      <c r="K141" s="220">
        <f t="shared" si="11"/>
        <v>49552</v>
      </c>
      <c r="L141" s="124"/>
      <c r="M141" s="124"/>
      <c r="N141" s="124"/>
      <c r="O141" s="124"/>
      <c r="P141" s="31"/>
    </row>
    <row r="142" spans="1:17" ht="18" hidden="1" customHeight="1" x14ac:dyDescent="0.2">
      <c r="A142" s="124"/>
      <c r="B142" s="125"/>
      <c r="C142" s="218"/>
      <c r="D142" s="218"/>
      <c r="E142" s="218"/>
      <c r="F142" s="218"/>
      <c r="G142" s="218"/>
      <c r="H142" s="218"/>
      <c r="I142" s="218">
        <v>2036</v>
      </c>
      <c r="J142" s="218">
        <v>0.5</v>
      </c>
      <c r="K142" s="220">
        <f t="shared" si="11"/>
        <v>49918</v>
      </c>
      <c r="L142" s="124"/>
      <c r="M142" s="124"/>
      <c r="N142" s="124"/>
      <c r="O142" s="124"/>
      <c r="P142" s="31"/>
    </row>
    <row r="143" spans="1:17" ht="18" customHeight="1" thickBot="1" x14ac:dyDescent="0.25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31"/>
    </row>
    <row r="144" spans="1:17" ht="13.5" customHeight="1" x14ac:dyDescent="0.2">
      <c r="A144" s="414" t="s">
        <v>168</v>
      </c>
      <c r="B144" s="534" t="s">
        <v>169</v>
      </c>
      <c r="C144" s="535"/>
      <c r="D144" s="535"/>
      <c r="E144" s="535"/>
      <c r="F144" s="536"/>
      <c r="G144" s="427" t="s">
        <v>170</v>
      </c>
      <c r="H144" s="428"/>
      <c r="I144" s="428"/>
      <c r="J144" s="428"/>
      <c r="K144" s="429"/>
      <c r="L144" s="464" t="s">
        <v>171</v>
      </c>
      <c r="M144" s="465"/>
      <c r="N144" s="466"/>
      <c r="O144" s="337">
        <f>O155-H121</f>
        <v>0</v>
      </c>
      <c r="P144" s="150"/>
      <c r="Q144" s="1" t="s">
        <v>172</v>
      </c>
    </row>
    <row r="145" spans="1:17" ht="13.5" customHeight="1" x14ac:dyDescent="0.2">
      <c r="A145" s="415"/>
      <c r="B145" s="537"/>
      <c r="C145" s="538"/>
      <c r="D145" s="538"/>
      <c r="E145" s="538"/>
      <c r="F145" s="539"/>
      <c r="G145" s="430"/>
      <c r="H145" s="431"/>
      <c r="I145" s="431"/>
      <c r="J145" s="431"/>
      <c r="K145" s="432"/>
      <c r="L145" s="476" t="s">
        <v>173</v>
      </c>
      <c r="M145" s="477"/>
      <c r="N145" s="478"/>
      <c r="O145" s="338">
        <f>H121</f>
        <v>0</v>
      </c>
      <c r="P145" s="150"/>
    </row>
    <row r="146" spans="1:17" ht="13.5" customHeight="1" x14ac:dyDescent="0.2">
      <c r="A146" s="415"/>
      <c r="B146" s="369" t="s">
        <v>174</v>
      </c>
      <c r="C146" s="370"/>
      <c r="D146" s="370"/>
      <c r="E146" s="370"/>
      <c r="F146" s="371"/>
      <c r="G146" s="430"/>
      <c r="H146" s="431"/>
      <c r="I146" s="431"/>
      <c r="J146" s="431"/>
      <c r="K146" s="432"/>
      <c r="L146" s="376" t="s">
        <v>175</v>
      </c>
      <c r="M146" s="377"/>
      <c r="N146" s="378"/>
      <c r="O146" s="339">
        <f>O155-O87-O83-O92-O99+K121</f>
        <v>0</v>
      </c>
      <c r="P146" s="150"/>
      <c r="Q146" s="225" t="s">
        <v>176</v>
      </c>
    </row>
    <row r="147" spans="1:17" ht="13.5" customHeight="1" x14ac:dyDescent="0.3">
      <c r="A147" s="415"/>
      <c r="B147" s="226"/>
      <c r="C147" s="118" t="s">
        <v>177</v>
      </c>
      <c r="D147" s="118"/>
      <c r="E147" s="118"/>
      <c r="F147" s="227">
        <v>0.5</v>
      </c>
      <c r="G147" s="430"/>
      <c r="H147" s="431"/>
      <c r="I147" s="431"/>
      <c r="J147" s="431"/>
      <c r="K147" s="432"/>
      <c r="L147" s="153" t="s">
        <v>178</v>
      </c>
      <c r="M147" s="113">
        <f>VLOOKUP($G$123,$I$124:$J$142,2,FALSE)</f>
        <v>0.5</v>
      </c>
      <c r="N147" s="250" t="s">
        <v>179</v>
      </c>
      <c r="O147" s="340">
        <f>IF($L$7-VLOOKUP($G$123,$I$124:$K$142,3,FALSE)&lt;0,$O$146,ROUND((1-($L$7-VLOOKUP($G$123,$I$124:$K$142,3,FALSE))/($L$7+1-$L$5))*$O$146,0))</f>
        <v>0</v>
      </c>
      <c r="P147" s="33"/>
      <c r="Q147" s="108"/>
    </row>
    <row r="148" spans="1:17" ht="13.5" customHeight="1" x14ac:dyDescent="0.3">
      <c r="A148" s="415"/>
      <c r="B148" s="226"/>
      <c r="C148" s="118" t="s">
        <v>180</v>
      </c>
      <c r="D148" s="118"/>
      <c r="E148" s="118"/>
      <c r="F148" s="227">
        <v>0.5</v>
      </c>
      <c r="G148" s="430"/>
      <c r="H148" s="431"/>
      <c r="I148" s="431"/>
      <c r="J148" s="431"/>
      <c r="K148" s="432"/>
      <c r="L148" s="154" t="s">
        <v>181</v>
      </c>
      <c r="M148" s="113">
        <f>VLOOKUP($G$123+1,$I$124:$J$142,2,FALSE)</f>
        <v>0.5</v>
      </c>
      <c r="N148" s="250" t="s">
        <v>182</v>
      </c>
      <c r="O148" s="340">
        <f>O146-O147</f>
        <v>0</v>
      </c>
      <c r="P148" s="33"/>
    </row>
    <row r="149" spans="1:17" ht="13.5" customHeight="1" x14ac:dyDescent="0.3">
      <c r="A149" s="415"/>
      <c r="B149" s="226"/>
      <c r="C149" s="118" t="s">
        <v>183</v>
      </c>
      <c r="D149" s="118"/>
      <c r="E149" s="118"/>
      <c r="F149" s="227">
        <v>0.36</v>
      </c>
      <c r="G149" s="430"/>
      <c r="H149" s="431"/>
      <c r="I149" s="431"/>
      <c r="J149" s="431"/>
      <c r="K149" s="432"/>
      <c r="L149" s="528" t="s">
        <v>184</v>
      </c>
      <c r="M149" s="529"/>
      <c r="N149" s="530"/>
      <c r="O149" s="341">
        <f>ROUND(M147*O147,0)</f>
        <v>0</v>
      </c>
      <c r="P149" s="33"/>
    </row>
    <row r="150" spans="1:17" ht="13.5" customHeight="1" x14ac:dyDescent="0.3">
      <c r="A150" s="415"/>
      <c r="B150" s="228"/>
      <c r="C150" s="229"/>
      <c r="D150" s="229"/>
      <c r="E150" s="229"/>
      <c r="F150" s="230"/>
      <c r="G150" s="433"/>
      <c r="H150" s="434"/>
      <c r="I150" s="434"/>
      <c r="J150" s="434"/>
      <c r="K150" s="435"/>
      <c r="L150" s="554" t="s">
        <v>185</v>
      </c>
      <c r="M150" s="555"/>
      <c r="N150" s="556"/>
      <c r="O150" s="342">
        <f>ROUND(M148*O148,0)</f>
        <v>0</v>
      </c>
      <c r="P150" s="33"/>
    </row>
    <row r="151" spans="1:17" ht="13.5" customHeight="1" x14ac:dyDescent="0.2">
      <c r="A151" s="415"/>
      <c r="B151" s="369" t="s">
        <v>186</v>
      </c>
      <c r="C151" s="370"/>
      <c r="D151" s="370"/>
      <c r="E151" s="370"/>
      <c r="F151" s="371"/>
      <c r="G151" s="545" t="s">
        <v>187</v>
      </c>
      <c r="H151" s="546"/>
      <c r="I151" s="546"/>
      <c r="J151" s="546"/>
      <c r="K151" s="546"/>
      <c r="L151" s="546"/>
      <c r="M151" s="546"/>
      <c r="N151" s="546"/>
      <c r="O151" s="547"/>
      <c r="P151" s="155"/>
    </row>
    <row r="152" spans="1:17" ht="13.5" customHeight="1" x14ac:dyDescent="0.2">
      <c r="A152" s="415"/>
      <c r="B152" s="226"/>
      <c r="C152" s="118" t="s">
        <v>188</v>
      </c>
      <c r="D152" s="118"/>
      <c r="E152" s="118"/>
      <c r="F152" s="227">
        <v>0.26</v>
      </c>
      <c r="G152" s="548"/>
      <c r="H152" s="549"/>
      <c r="I152" s="549"/>
      <c r="J152" s="549"/>
      <c r="K152" s="549"/>
      <c r="L152" s="549"/>
      <c r="M152" s="549"/>
      <c r="N152" s="549"/>
      <c r="O152" s="550"/>
      <c r="P152" s="155"/>
    </row>
    <row r="153" spans="1:17" ht="14.25" customHeight="1" thickBot="1" x14ac:dyDescent="0.25">
      <c r="A153" s="416"/>
      <c r="B153" s="226"/>
      <c r="C153" s="118"/>
      <c r="D153" s="118"/>
      <c r="E153" s="118"/>
      <c r="F153" s="227"/>
      <c r="G153" s="551"/>
      <c r="H153" s="552"/>
      <c r="I153" s="552"/>
      <c r="J153" s="552"/>
      <c r="K153" s="552"/>
      <c r="L153" s="552"/>
      <c r="M153" s="552"/>
      <c r="N153" s="552"/>
      <c r="O153" s="553"/>
      <c r="P153" s="155"/>
    </row>
    <row r="154" spans="1:17" ht="18" customHeight="1" thickBot="1" x14ac:dyDescent="0.25">
      <c r="A154" s="417"/>
      <c r="B154" s="417"/>
      <c r="C154" s="417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31"/>
    </row>
    <row r="155" spans="1:17" ht="17.100000000000001" customHeight="1" x14ac:dyDescent="0.25">
      <c r="A155" s="398" t="s">
        <v>189</v>
      </c>
      <c r="B155" s="399"/>
      <c r="C155" s="404" t="s">
        <v>190</v>
      </c>
      <c r="D155" s="405"/>
      <c r="E155" s="405"/>
      <c r="F155" s="410"/>
      <c r="G155" s="411"/>
      <c r="H155" s="17"/>
      <c r="I155" s="414" t="s">
        <v>191</v>
      </c>
      <c r="J155" s="438" t="str">
        <f>K3</f>
        <v>Period 5</v>
      </c>
      <c r="K155" s="453" t="s">
        <v>192</v>
      </c>
      <c r="L155" s="454"/>
      <c r="M155" s="454"/>
      <c r="N155" s="455"/>
      <c r="O155" s="343">
        <f>O37+O83+O66+O87+O69+O99+O92</f>
        <v>0</v>
      </c>
      <c r="P155" s="156"/>
    </row>
    <row r="156" spans="1:17" ht="17.100000000000001" customHeight="1" x14ac:dyDescent="0.25">
      <c r="A156" s="400"/>
      <c r="B156" s="401"/>
      <c r="C156" s="407"/>
      <c r="D156" s="408"/>
      <c r="E156" s="408"/>
      <c r="F156" s="412"/>
      <c r="G156" s="413"/>
      <c r="H156" s="17"/>
      <c r="I156" s="415"/>
      <c r="J156" s="439"/>
      <c r="K156" s="444" t="s">
        <v>193</v>
      </c>
      <c r="L156" s="445"/>
      <c r="M156" s="445"/>
      <c r="N156" s="446"/>
      <c r="O156" s="344">
        <f>O149+O150</f>
        <v>0</v>
      </c>
      <c r="P156" s="156"/>
      <c r="Q156" s="23"/>
    </row>
    <row r="157" spans="1:17" ht="17.100000000000001" customHeight="1" thickBot="1" x14ac:dyDescent="0.3">
      <c r="A157" s="402"/>
      <c r="B157" s="403"/>
      <c r="C157" s="441" t="s">
        <v>194</v>
      </c>
      <c r="D157" s="442"/>
      <c r="E157" s="443"/>
      <c r="F157" s="394" t="str">
        <f>IF(O158&lt;&gt;0,F155/O158,"-")</f>
        <v>-</v>
      </c>
      <c r="G157" s="395"/>
      <c r="H157" s="17"/>
      <c r="I157" s="415"/>
      <c r="J157" s="439"/>
      <c r="K157" s="447" t="s">
        <v>195</v>
      </c>
      <c r="L157" s="448"/>
      <c r="M157" s="448"/>
      <c r="N157" s="449"/>
      <c r="O157" s="345">
        <f>O155+O156</f>
        <v>0</v>
      </c>
      <c r="P157" s="156"/>
    </row>
    <row r="158" spans="1:17" ht="17.100000000000001" customHeight="1" thickBot="1" x14ac:dyDescent="0.3">
      <c r="A158" s="396"/>
      <c r="B158" s="396"/>
      <c r="C158" s="396"/>
      <c r="D158" s="396"/>
      <c r="E158" s="396"/>
      <c r="F158" s="396"/>
      <c r="G158" s="396"/>
      <c r="H158" s="397"/>
      <c r="I158" s="416"/>
      <c r="J158" s="440"/>
      <c r="K158" s="450" t="s">
        <v>196</v>
      </c>
      <c r="L158" s="451"/>
      <c r="M158" s="451"/>
      <c r="N158" s="452"/>
      <c r="O158" s="346">
        <f>O157+F155</f>
        <v>0</v>
      </c>
      <c r="P158" s="156"/>
    </row>
  </sheetData>
  <sheetProtection algorithmName="SHA-512" hashValue="J7FCXHkF48QufY+wWRC3FBFXUl+8hTVZYGN5NfhWoHPnDUWhTp+0FKdxTbPGvWC5BJ61kWL41nHos76T0foPWw==" saltValue="CdLLj9Jzse9VTgSKur274w==" spinCount="100000" sheet="1" formatRows="0" insertRows="0"/>
  <mergeCells count="224">
    <mergeCell ref="A5:C6"/>
    <mergeCell ref="D5:F6"/>
    <mergeCell ref="K5:K6"/>
    <mergeCell ref="L5:L6"/>
    <mergeCell ref="A7:C10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D7:J10"/>
    <mergeCell ref="A36:O36"/>
    <mergeCell ref="A37:A81"/>
    <mergeCell ref="B38:C38"/>
    <mergeCell ref="G38:H38"/>
    <mergeCell ref="B39:C39"/>
    <mergeCell ref="G39:H39"/>
    <mergeCell ref="B40:C40"/>
    <mergeCell ref="G40:H40"/>
    <mergeCell ref="B41:C41"/>
    <mergeCell ref="B45:C45"/>
    <mergeCell ref="G45:H45"/>
    <mergeCell ref="B46:C46"/>
    <mergeCell ref="G46:H46"/>
    <mergeCell ref="B47:C47"/>
    <mergeCell ref="G47:H47"/>
    <mergeCell ref="G41:H41"/>
    <mergeCell ref="B42:C42"/>
    <mergeCell ref="G42:H42"/>
    <mergeCell ref="B43:C43"/>
    <mergeCell ref="G43:H43"/>
    <mergeCell ref="B44:C44"/>
    <mergeCell ref="G44:H44"/>
    <mergeCell ref="B51:C51"/>
    <mergeCell ref="G51:H51"/>
    <mergeCell ref="B52:C52"/>
    <mergeCell ref="G52:H52"/>
    <mergeCell ref="B53:C53"/>
    <mergeCell ref="G53:H53"/>
    <mergeCell ref="B48:C48"/>
    <mergeCell ref="G48:H48"/>
    <mergeCell ref="B49:C49"/>
    <mergeCell ref="G49:H49"/>
    <mergeCell ref="B50:C50"/>
    <mergeCell ref="G50:H50"/>
    <mergeCell ref="B57:C57"/>
    <mergeCell ref="G57:H57"/>
    <mergeCell ref="B58:C58"/>
    <mergeCell ref="G58:H58"/>
    <mergeCell ref="B59:C59"/>
    <mergeCell ref="G59:H59"/>
    <mergeCell ref="B54:C54"/>
    <mergeCell ref="G54:H54"/>
    <mergeCell ref="B55:C55"/>
    <mergeCell ref="G55:H55"/>
    <mergeCell ref="B56:C56"/>
    <mergeCell ref="G56:H56"/>
    <mergeCell ref="B63:C63"/>
    <mergeCell ref="G63:H63"/>
    <mergeCell ref="B64:C64"/>
    <mergeCell ref="G64:H64"/>
    <mergeCell ref="B65:C65"/>
    <mergeCell ref="G65:H65"/>
    <mergeCell ref="B60:C60"/>
    <mergeCell ref="G60:H60"/>
    <mergeCell ref="B61:C61"/>
    <mergeCell ref="G61:H61"/>
    <mergeCell ref="B62:C62"/>
    <mergeCell ref="G62:H62"/>
    <mergeCell ref="B70:N70"/>
    <mergeCell ref="B78:N78"/>
    <mergeCell ref="B79:N79"/>
    <mergeCell ref="B66:M66"/>
    <mergeCell ref="B67:N67"/>
    <mergeCell ref="B68:N68"/>
    <mergeCell ref="B69:M69"/>
    <mergeCell ref="B71:M71"/>
    <mergeCell ref="B72:M72"/>
    <mergeCell ref="B73:M73"/>
    <mergeCell ref="B74:M74"/>
    <mergeCell ref="B75:M75"/>
    <mergeCell ref="B76:M76"/>
    <mergeCell ref="B77:N77"/>
    <mergeCell ref="B89:N89"/>
    <mergeCell ref="B90:N90"/>
    <mergeCell ref="B91:N91"/>
    <mergeCell ref="B92:M92"/>
    <mergeCell ref="B93:N93"/>
    <mergeCell ref="B94:N94"/>
    <mergeCell ref="B80:N80"/>
    <mergeCell ref="B81:N81"/>
    <mergeCell ref="A82:O82"/>
    <mergeCell ref="A83:A97"/>
    <mergeCell ref="B83:M83"/>
    <mergeCell ref="B84:N84"/>
    <mergeCell ref="B85:N85"/>
    <mergeCell ref="B86:N86"/>
    <mergeCell ref="B87:M87"/>
    <mergeCell ref="B88:N88"/>
    <mergeCell ref="B95:N95"/>
    <mergeCell ref="B96:N96"/>
    <mergeCell ref="B97:N97"/>
    <mergeCell ref="B98:O98"/>
    <mergeCell ref="B99:M99"/>
    <mergeCell ref="B100:B121"/>
    <mergeCell ref="C103:E103"/>
    <mergeCell ref="F103:G103"/>
    <mergeCell ref="H103:I103"/>
    <mergeCell ref="N103:O103"/>
    <mergeCell ref="C104:E104"/>
    <mergeCell ref="F104:G104"/>
    <mergeCell ref="H104:I104"/>
    <mergeCell ref="N104:O104"/>
    <mergeCell ref="C101:E101"/>
    <mergeCell ref="F101:G101"/>
    <mergeCell ref="F107:G107"/>
    <mergeCell ref="H107:I107"/>
    <mergeCell ref="N107:O107"/>
    <mergeCell ref="C108:E108"/>
    <mergeCell ref="F108:G108"/>
    <mergeCell ref="H108:I108"/>
    <mergeCell ref="N108:O108"/>
    <mergeCell ref="C107:E107"/>
    <mergeCell ref="C105:E105"/>
    <mergeCell ref="F105:G105"/>
    <mergeCell ref="H105:I105"/>
    <mergeCell ref="N105:O105"/>
    <mergeCell ref="C106:E106"/>
    <mergeCell ref="F106:G106"/>
    <mergeCell ref="H106:I106"/>
    <mergeCell ref="N106:O106"/>
    <mergeCell ref="N112:O112"/>
    <mergeCell ref="C109:E109"/>
    <mergeCell ref="F109:G109"/>
    <mergeCell ref="H109:I109"/>
    <mergeCell ref="N109:O109"/>
    <mergeCell ref="C110:E110"/>
    <mergeCell ref="F110:G110"/>
    <mergeCell ref="H110:I110"/>
    <mergeCell ref="N110:O110"/>
    <mergeCell ref="C118:E118"/>
    <mergeCell ref="F118:G118"/>
    <mergeCell ref="H118:I118"/>
    <mergeCell ref="N118:O118"/>
    <mergeCell ref="C115:E115"/>
    <mergeCell ref="F115:G115"/>
    <mergeCell ref="H115:I115"/>
    <mergeCell ref="N115:O115"/>
    <mergeCell ref="C116:E116"/>
    <mergeCell ref="F116:G116"/>
    <mergeCell ref="H116:I116"/>
    <mergeCell ref="N116:O116"/>
    <mergeCell ref="N101:O101"/>
    <mergeCell ref="C102:E102"/>
    <mergeCell ref="F102:G102"/>
    <mergeCell ref="H102:I102"/>
    <mergeCell ref="N102:O102"/>
    <mergeCell ref="C117:E117"/>
    <mergeCell ref="F117:G117"/>
    <mergeCell ref="H117:I117"/>
    <mergeCell ref="N117:O117"/>
    <mergeCell ref="C113:E113"/>
    <mergeCell ref="F113:G113"/>
    <mergeCell ref="H113:I113"/>
    <mergeCell ref="N113:O113"/>
    <mergeCell ref="C114:E114"/>
    <mergeCell ref="F114:G114"/>
    <mergeCell ref="H114:I114"/>
    <mergeCell ref="N114:O114"/>
    <mergeCell ref="C111:E111"/>
    <mergeCell ref="F111:G111"/>
    <mergeCell ref="H111:I111"/>
    <mergeCell ref="N111:O111"/>
    <mergeCell ref="C112:E112"/>
    <mergeCell ref="F112:G112"/>
    <mergeCell ref="H112:I112"/>
    <mergeCell ref="C157:E157"/>
    <mergeCell ref="F157:G157"/>
    <mergeCell ref="K157:N157"/>
    <mergeCell ref="A158:H158"/>
    <mergeCell ref="K158:N158"/>
    <mergeCell ref="G151:O153"/>
    <mergeCell ref="A154:O154"/>
    <mergeCell ref="A155:B157"/>
    <mergeCell ref="C155:E156"/>
    <mergeCell ref="F155:G156"/>
    <mergeCell ref="I155:I158"/>
    <mergeCell ref="J155:J158"/>
    <mergeCell ref="A144:A153"/>
    <mergeCell ref="B144:F144"/>
    <mergeCell ref="L144:N144"/>
    <mergeCell ref="B145:F145"/>
    <mergeCell ref="L145:N145"/>
    <mergeCell ref="G144:K150"/>
    <mergeCell ref="L149:N149"/>
    <mergeCell ref="L150:N150"/>
    <mergeCell ref="F100:G100"/>
    <mergeCell ref="H100:I100"/>
    <mergeCell ref="N100:O100"/>
    <mergeCell ref="B146:F146"/>
    <mergeCell ref="B151:F151"/>
    <mergeCell ref="B37:J37"/>
    <mergeCell ref="K37:L37"/>
    <mergeCell ref="K155:N155"/>
    <mergeCell ref="K156:N156"/>
    <mergeCell ref="L146:N146"/>
    <mergeCell ref="C121:E121"/>
    <mergeCell ref="F121:G121"/>
    <mergeCell ref="H121:I121"/>
    <mergeCell ref="A122:O122"/>
    <mergeCell ref="C119:E119"/>
    <mergeCell ref="F119:G119"/>
    <mergeCell ref="H119:I119"/>
    <mergeCell ref="N119:O119"/>
    <mergeCell ref="C120:E120"/>
    <mergeCell ref="F120:G120"/>
    <mergeCell ref="H120:I120"/>
    <mergeCell ref="N120:O120"/>
    <mergeCell ref="A99:A121"/>
    <mergeCell ref="H101:I101"/>
  </mergeCells>
  <conditionalFormatting sqref="J39:J65">
    <cfRule type="expression" dxfId="5" priority="1">
      <formula>E39&lt;&gt;"Hourly"</formula>
    </cfRule>
  </conditionalFormatting>
  <dataValidations count="2">
    <dataValidation type="list" allowBlank="1" showInputMessage="1" showErrorMessage="1" sqref="E39:E65" xr:uid="{00000000-0002-0000-0600-000000000000}">
      <formula1>$B$12:$B$17</formula1>
    </dataValidation>
    <dataValidation type="list" allowBlank="1" showInputMessage="1" showErrorMessage="1" sqref="F39:F65" xr:uid="{00000000-0002-0000-0600-000001000000}">
      <formula1>INDIRECT(E39)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66"/>
  <sheetViews>
    <sheetView topLeftCell="A9" zoomScaleNormal="100" zoomScalePageLayoutView="85" workbookViewId="0">
      <selection activeCell="B74" sqref="B74:M74"/>
    </sheetView>
  </sheetViews>
  <sheetFormatPr defaultColWidth="8.7109375" defaultRowHeight="12.75" x14ac:dyDescent="0.2"/>
  <cols>
    <col min="1" max="2" width="4.28515625" style="1" customWidth="1"/>
    <col min="3" max="3" width="23.7109375" style="1" customWidth="1"/>
    <col min="4" max="4" width="9.7109375" style="1" customWidth="1"/>
    <col min="5" max="5" width="14.7109375" style="1" customWidth="1"/>
    <col min="6" max="6" width="18.7109375" style="1" customWidth="1"/>
    <col min="7" max="7" width="6.42578125" style="1" customWidth="1"/>
    <col min="8" max="8" width="9" style="1" customWidth="1"/>
    <col min="9" max="9" width="8.7109375" style="1" customWidth="1"/>
    <col min="10" max="10" width="11.7109375" style="2" customWidth="1"/>
    <col min="11" max="11" width="13" style="2" customWidth="1"/>
    <col min="12" max="13" width="12.7109375" style="1" customWidth="1"/>
    <col min="14" max="14" width="18" style="1" customWidth="1"/>
    <col min="15" max="15" width="17.28515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7109375" style="1"/>
  </cols>
  <sheetData>
    <row r="1" spans="1:18" s="3" customFormat="1" ht="22.15" customHeight="1" x14ac:dyDescent="0.2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126"/>
    </row>
    <row r="2" spans="1:18" s="3" customFormat="1" ht="35.25" customHeight="1" thickBot="1" x14ac:dyDescent="0.3">
      <c r="A2" s="512" t="s">
        <v>60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127"/>
    </row>
    <row r="3" spans="1:18" s="3" customFormat="1" ht="12" customHeight="1" x14ac:dyDescent="0.25">
      <c r="A3" s="514" t="s">
        <v>62</v>
      </c>
      <c r="B3" s="515"/>
      <c r="C3" s="515"/>
      <c r="D3" s="456">
        <f>'Per5'!D3</f>
        <v>0</v>
      </c>
      <c r="E3" s="456"/>
      <c r="F3" s="456"/>
      <c r="G3" s="24"/>
      <c r="H3" s="122"/>
      <c r="I3" s="122"/>
      <c r="J3" s="122"/>
      <c r="K3" s="460" t="s">
        <v>204</v>
      </c>
      <c r="L3" s="461"/>
      <c r="M3" s="516" t="s">
        <v>201</v>
      </c>
      <c r="N3" s="517"/>
      <c r="O3" s="518"/>
      <c r="P3" s="28"/>
      <c r="Q3" s="14" t="s">
        <v>66</v>
      </c>
    </row>
    <row r="4" spans="1:18" ht="18.600000000000001" customHeight="1" thickBot="1" x14ac:dyDescent="0.3">
      <c r="A4" s="483"/>
      <c r="B4" s="484"/>
      <c r="C4" s="484"/>
      <c r="D4" s="457"/>
      <c r="E4" s="457"/>
      <c r="F4" s="457"/>
      <c r="G4" s="119"/>
      <c r="H4" s="123"/>
      <c r="I4" s="123"/>
      <c r="J4" s="123"/>
      <c r="K4" s="462"/>
      <c r="L4" s="463"/>
      <c r="M4" s="519" t="s">
        <v>65</v>
      </c>
      <c r="N4" s="520"/>
      <c r="O4" s="521"/>
      <c r="P4" s="128"/>
      <c r="Q4" s="255" t="s">
        <v>71</v>
      </c>
    </row>
    <row r="5" spans="1:18" ht="18" customHeight="1" thickBot="1" x14ac:dyDescent="0.3">
      <c r="A5" s="483" t="s">
        <v>67</v>
      </c>
      <c r="B5" s="484"/>
      <c r="C5" s="484"/>
      <c r="D5" s="458">
        <f>'Per5'!D5</f>
        <v>0</v>
      </c>
      <c r="E5" s="458"/>
      <c r="F5" s="458"/>
      <c r="G5" s="52"/>
      <c r="H5" s="53"/>
      <c r="I5" s="53"/>
      <c r="J5" s="35"/>
      <c r="K5" s="459" t="s">
        <v>68</v>
      </c>
      <c r="L5" s="568">
        <f>'Per5'!L7+1</f>
        <v>47362</v>
      </c>
      <c r="M5" s="129"/>
      <c r="N5" s="130" t="s">
        <v>69</v>
      </c>
      <c r="O5" s="131" t="s">
        <v>70</v>
      </c>
      <c r="P5" s="132"/>
      <c r="Q5" s="14" t="s">
        <v>73</v>
      </c>
      <c r="R5" s="133"/>
    </row>
    <row r="6" spans="1:18" ht="12" customHeight="1" thickTop="1" x14ac:dyDescent="0.25">
      <c r="A6" s="483"/>
      <c r="B6" s="484"/>
      <c r="C6" s="484"/>
      <c r="D6" s="457"/>
      <c r="E6" s="457"/>
      <c r="F6" s="457"/>
      <c r="G6" s="119"/>
      <c r="H6" s="53"/>
      <c r="I6" s="53"/>
      <c r="J6" s="35"/>
      <c r="K6" s="459"/>
      <c r="L6" s="569"/>
      <c r="M6" s="134" t="s">
        <v>72</v>
      </c>
      <c r="N6" s="356">
        <v>1453.34</v>
      </c>
      <c r="O6" s="357">
        <v>726.68</v>
      </c>
      <c r="P6" s="135"/>
      <c r="Q6" s="1" t="s">
        <v>77</v>
      </c>
    </row>
    <row r="7" spans="1:18" ht="12" customHeight="1" x14ac:dyDescent="0.25">
      <c r="A7" s="483" t="s">
        <v>198</v>
      </c>
      <c r="B7" s="484"/>
      <c r="C7" s="484"/>
      <c r="D7" s="575">
        <f>'Per5'!D7</f>
        <v>0</v>
      </c>
      <c r="E7" s="575"/>
      <c r="F7" s="575"/>
      <c r="G7" s="55"/>
      <c r="H7" s="54"/>
      <c r="I7" s="54"/>
      <c r="J7" s="35"/>
      <c r="K7" s="459" t="s">
        <v>75</v>
      </c>
      <c r="L7" s="570">
        <f>EDATE(L5,12)-1</f>
        <v>47726</v>
      </c>
      <c r="M7" s="136" t="s">
        <v>76</v>
      </c>
      <c r="N7" s="358">
        <v>1041.9000000000001</v>
      </c>
      <c r="O7" s="359">
        <v>520.96</v>
      </c>
      <c r="P7" s="135"/>
    </row>
    <row r="8" spans="1:18" ht="12.75" customHeight="1" x14ac:dyDescent="0.25">
      <c r="A8" s="483"/>
      <c r="B8" s="484"/>
      <c r="C8" s="484"/>
      <c r="D8" s="498"/>
      <c r="E8" s="498"/>
      <c r="F8" s="498"/>
      <c r="G8" s="55"/>
      <c r="H8" s="54"/>
      <c r="I8" s="54"/>
      <c r="K8" s="459"/>
      <c r="L8" s="569"/>
      <c r="M8" s="136" t="s">
        <v>78</v>
      </c>
      <c r="N8" s="358">
        <v>1189.2</v>
      </c>
      <c r="O8" s="359">
        <v>594.6</v>
      </c>
      <c r="P8" s="135"/>
    </row>
    <row r="9" spans="1:18" ht="12.75" customHeight="1" x14ac:dyDescent="0.25">
      <c r="A9" s="483"/>
      <c r="B9" s="484"/>
      <c r="C9" s="484"/>
      <c r="D9" s="498"/>
      <c r="E9" s="498"/>
      <c r="F9" s="498"/>
      <c r="G9" s="55"/>
      <c r="H9" s="54"/>
      <c r="I9" s="54"/>
      <c r="K9" s="251"/>
      <c r="L9" s="252"/>
      <c r="M9" s="253" t="s">
        <v>79</v>
      </c>
      <c r="N9" s="360">
        <v>780.24</v>
      </c>
      <c r="O9" s="361">
        <v>390.12</v>
      </c>
      <c r="P9" s="135"/>
    </row>
    <row r="10" spans="1:18" ht="12" customHeight="1" thickBot="1" x14ac:dyDescent="0.3">
      <c r="A10" s="485"/>
      <c r="B10" s="486"/>
      <c r="C10" s="486"/>
      <c r="D10" s="499"/>
      <c r="E10" s="499"/>
      <c r="F10" s="499"/>
      <c r="G10" s="56"/>
      <c r="H10" s="25"/>
      <c r="I10" s="120"/>
      <c r="J10" s="120"/>
      <c r="K10" s="120"/>
      <c r="L10" s="26"/>
      <c r="M10" s="137" t="s">
        <v>80</v>
      </c>
      <c r="N10" s="362" t="s">
        <v>81</v>
      </c>
      <c r="O10" s="363">
        <v>746.09</v>
      </c>
      <c r="P10" s="135"/>
    </row>
    <row r="11" spans="1:18" ht="13.5" hidden="1" thickBot="1" x14ac:dyDescent="0.25">
      <c r="B11" s="210"/>
      <c r="C11" s="210"/>
      <c r="D11" s="210"/>
      <c r="E11" s="279" t="s">
        <v>82</v>
      </c>
      <c r="F11" s="305" t="s">
        <v>83</v>
      </c>
      <c r="G11" s="306" t="s">
        <v>84</v>
      </c>
      <c r="H11" s="307" t="s">
        <v>85</v>
      </c>
      <c r="I11" s="211" t="s">
        <v>86</v>
      </c>
      <c r="J11" s="308" t="s">
        <v>87</v>
      </c>
      <c r="K11" s="210"/>
      <c r="L11" s="210"/>
      <c r="M11" s="210"/>
      <c r="N11" s="211" t="s">
        <v>88</v>
      </c>
      <c r="O11" s="212">
        <v>0</v>
      </c>
      <c r="P11" s="138"/>
    </row>
    <row r="12" spans="1:18" hidden="1" x14ac:dyDescent="0.2">
      <c r="B12" s="279" t="s">
        <v>82</v>
      </c>
      <c r="C12" s="275">
        <f>1/900</f>
        <v>1.1111111111111111E-3</v>
      </c>
      <c r="D12" s="213"/>
      <c r="E12" s="287" t="s">
        <v>88</v>
      </c>
      <c r="F12" s="280" t="s">
        <v>88</v>
      </c>
      <c r="G12" s="297" t="s">
        <v>88</v>
      </c>
      <c r="H12" s="298" t="s">
        <v>88</v>
      </c>
      <c r="I12" s="210" t="s">
        <v>88</v>
      </c>
      <c r="J12" s="293" t="s">
        <v>88</v>
      </c>
      <c r="K12" s="279" t="str">
        <f>B12&amp;M6</f>
        <v>FT_BE_09Emp/Family</v>
      </c>
      <c r="L12" s="273">
        <f>N6</f>
        <v>1453.34</v>
      </c>
      <c r="M12" s="274">
        <v>0.18</v>
      </c>
      <c r="N12" s="275">
        <v>100</v>
      </c>
      <c r="O12" s="210"/>
    </row>
    <row r="13" spans="1:18" hidden="1" x14ac:dyDescent="0.2">
      <c r="B13" s="283" t="s">
        <v>83</v>
      </c>
      <c r="C13" s="282">
        <f>1/1200</f>
        <v>8.3333333333333339E-4</v>
      </c>
      <c r="D13" s="213"/>
      <c r="E13" s="309" t="s">
        <v>72</v>
      </c>
      <c r="F13" s="300" t="s">
        <v>72</v>
      </c>
      <c r="G13" s="301" t="s">
        <v>72</v>
      </c>
      <c r="H13" s="298" t="s">
        <v>89</v>
      </c>
      <c r="I13" s="210"/>
      <c r="J13" s="293" t="s">
        <v>89</v>
      </c>
      <c r="K13" s="287" t="str">
        <f>B12&amp;M7</f>
        <v>FT_BE_09Emp/Child</v>
      </c>
      <c r="L13" s="294">
        <f>N7</f>
        <v>1041.9000000000001</v>
      </c>
      <c r="M13" s="277">
        <v>0.18</v>
      </c>
      <c r="N13" s="278">
        <v>100</v>
      </c>
      <c r="O13" s="210"/>
    </row>
    <row r="14" spans="1:18" hidden="1" x14ac:dyDescent="0.2">
      <c r="B14" s="284" t="s">
        <v>84</v>
      </c>
      <c r="C14" s="286">
        <f>1/1200</f>
        <v>8.3333333333333339E-4</v>
      </c>
      <c r="D14" s="213"/>
      <c r="E14" s="309" t="s">
        <v>76</v>
      </c>
      <c r="F14" s="300" t="s">
        <v>76</v>
      </c>
      <c r="G14" s="301" t="s">
        <v>76</v>
      </c>
      <c r="H14" s="298"/>
      <c r="I14" s="210"/>
      <c r="J14" s="293"/>
      <c r="K14" s="287" t="str">
        <f>B12&amp;M8</f>
        <v>FT_BE_09Emp/Spouse</v>
      </c>
      <c r="L14" s="294">
        <f>N8</f>
        <v>1189.2</v>
      </c>
      <c r="M14" s="277">
        <v>0.18</v>
      </c>
      <c r="N14" s="278">
        <v>100</v>
      </c>
      <c r="O14" s="210"/>
    </row>
    <row r="15" spans="1:18" hidden="1" x14ac:dyDescent="0.2">
      <c r="B15" s="288" t="s">
        <v>85</v>
      </c>
      <c r="C15" s="290">
        <f>1/1200</f>
        <v>8.3333333333333339E-4</v>
      </c>
      <c r="D15" s="213"/>
      <c r="E15" s="309" t="s">
        <v>78</v>
      </c>
      <c r="F15" s="300" t="s">
        <v>78</v>
      </c>
      <c r="G15" s="301" t="s">
        <v>78</v>
      </c>
      <c r="H15" s="298"/>
      <c r="I15" s="210"/>
      <c r="J15" s="293"/>
      <c r="K15" s="287" t="str">
        <f>B12&amp;M9</f>
        <v>FT_BE_09Emp Only</v>
      </c>
      <c r="L15" s="294">
        <f>N9</f>
        <v>780.24</v>
      </c>
      <c r="M15" s="277">
        <v>0.18</v>
      </c>
      <c r="N15" s="278">
        <v>100</v>
      </c>
      <c r="O15" s="210"/>
    </row>
    <row r="16" spans="1:18" hidden="1" x14ac:dyDescent="0.2">
      <c r="B16" s="291" t="s">
        <v>87</v>
      </c>
      <c r="C16" s="293">
        <v>1</v>
      </c>
      <c r="D16" s="213"/>
      <c r="E16" s="310" t="s">
        <v>79</v>
      </c>
      <c r="F16" s="302" t="s">
        <v>79</v>
      </c>
      <c r="G16" s="303" t="s">
        <v>79</v>
      </c>
      <c r="H16" s="304"/>
      <c r="I16" s="29"/>
      <c r="J16" s="311"/>
      <c r="K16" s="283" t="str">
        <f>B13&amp;M6</f>
        <v>FT_BE_12Emp/Family</v>
      </c>
      <c r="L16" s="295">
        <f>N6</f>
        <v>1453.34</v>
      </c>
      <c r="M16" s="281">
        <v>0.18</v>
      </c>
      <c r="N16" s="282">
        <v>100</v>
      </c>
      <c r="O16" s="210"/>
    </row>
    <row r="17" spans="2:15" ht="13.5" hidden="1" thickBot="1" x14ac:dyDescent="0.25">
      <c r="B17" s="215" t="s">
        <v>86</v>
      </c>
      <c r="C17" s="216">
        <v>0</v>
      </c>
      <c r="D17" s="213"/>
      <c r="E17" s="287" t="s">
        <v>89</v>
      </c>
      <c r="F17" s="300" t="s">
        <v>89</v>
      </c>
      <c r="G17" s="301" t="s">
        <v>80</v>
      </c>
      <c r="H17" s="298"/>
      <c r="I17" s="210"/>
      <c r="J17" s="293"/>
      <c r="K17" s="283" t="str">
        <f>B13&amp;M7</f>
        <v>FT_BE_12Emp/Child</v>
      </c>
      <c r="L17" s="295">
        <f t="shared" ref="L17:L19" si="0">N7</f>
        <v>1041.9000000000001</v>
      </c>
      <c r="M17" s="281">
        <v>0.18</v>
      </c>
      <c r="N17" s="282">
        <v>100</v>
      </c>
      <c r="O17" s="210"/>
    </row>
    <row r="18" spans="2:15" ht="13.5" hidden="1" thickBot="1" x14ac:dyDescent="0.25">
      <c r="B18" s="210"/>
      <c r="C18" s="210"/>
      <c r="D18" s="210"/>
      <c r="E18" s="312"/>
      <c r="F18" s="313"/>
      <c r="G18" s="314" t="s">
        <v>89</v>
      </c>
      <c r="H18" s="315"/>
      <c r="I18" s="217"/>
      <c r="J18" s="316"/>
      <c r="K18" s="283" t="str">
        <f>B13&amp;M8</f>
        <v>FT_BE_12Emp/Spouse</v>
      </c>
      <c r="L18" s="295">
        <f t="shared" si="0"/>
        <v>1189.2</v>
      </c>
      <c r="M18" s="281">
        <v>0.18</v>
      </c>
      <c r="N18" s="282">
        <v>100</v>
      </c>
      <c r="O18" s="210"/>
    </row>
    <row r="19" spans="2:15" hidden="1" x14ac:dyDescent="0.2">
      <c r="B19" s="210"/>
      <c r="C19" s="210"/>
      <c r="D19" s="210"/>
      <c r="E19" s="210"/>
      <c r="F19" s="210"/>
      <c r="G19" s="210"/>
      <c r="H19" s="210"/>
      <c r="I19" s="210"/>
      <c r="J19" s="210"/>
      <c r="K19" s="283" t="str">
        <f>B13&amp;M9</f>
        <v>FT_BE_12Emp Only</v>
      </c>
      <c r="L19" s="295">
        <f t="shared" si="0"/>
        <v>780.24</v>
      </c>
      <c r="M19" s="281">
        <v>0.18</v>
      </c>
      <c r="N19" s="282">
        <v>100</v>
      </c>
      <c r="O19" s="210"/>
    </row>
    <row r="20" spans="2:15" hidden="1" x14ac:dyDescent="0.2">
      <c r="B20" s="210"/>
      <c r="C20" s="210"/>
      <c r="D20" s="210"/>
      <c r="E20" s="210"/>
      <c r="F20" s="210"/>
      <c r="G20" s="210"/>
      <c r="H20" s="210"/>
      <c r="I20" s="210"/>
      <c r="J20" s="210"/>
      <c r="K20" s="283" t="str">
        <f>B13&amp;F17</f>
        <v>FT_BE_12None</v>
      </c>
      <c r="L20" s="295">
        <v>0</v>
      </c>
      <c r="M20" s="281">
        <v>0.18</v>
      </c>
      <c r="N20" s="282">
        <v>0</v>
      </c>
      <c r="O20" s="210"/>
    </row>
    <row r="21" spans="2:15" hidden="1" x14ac:dyDescent="0.2">
      <c r="B21" s="210"/>
      <c r="C21" s="210"/>
      <c r="D21" s="210"/>
      <c r="E21" s="210"/>
      <c r="F21" s="210"/>
      <c r="G21" s="210"/>
      <c r="H21" s="210"/>
      <c r="I21" s="210"/>
      <c r="J21" s="210"/>
      <c r="K21" s="284" t="str">
        <f>B14&amp;M6</f>
        <v>PT_BE_12Emp/Family</v>
      </c>
      <c r="L21" s="296">
        <f>N6</f>
        <v>1453.34</v>
      </c>
      <c r="M21" s="285">
        <v>0.18</v>
      </c>
      <c r="N21" s="286">
        <v>50</v>
      </c>
      <c r="O21" s="210"/>
    </row>
    <row r="22" spans="2:15" hidden="1" x14ac:dyDescent="0.2">
      <c r="B22" s="210"/>
      <c r="C22" s="210"/>
      <c r="D22" s="210"/>
      <c r="E22" s="210"/>
      <c r="F22" s="210"/>
      <c r="G22" s="210"/>
      <c r="H22" s="210"/>
      <c r="I22" s="210"/>
      <c r="J22" s="210"/>
      <c r="K22" s="284" t="str">
        <f>B14&amp;M7</f>
        <v>PT_BE_12Emp/Child</v>
      </c>
      <c r="L22" s="296">
        <f t="shared" ref="L22:L24" si="1">N7</f>
        <v>1041.9000000000001</v>
      </c>
      <c r="M22" s="285">
        <v>0.18</v>
      </c>
      <c r="N22" s="286">
        <v>50</v>
      </c>
      <c r="O22" s="210"/>
    </row>
    <row r="23" spans="2:15" hidden="1" x14ac:dyDescent="0.2">
      <c r="B23" s="210"/>
      <c r="C23" s="210"/>
      <c r="D23" s="210"/>
      <c r="E23" s="210"/>
      <c r="F23" s="210"/>
      <c r="G23" s="210"/>
      <c r="H23" s="210"/>
      <c r="I23" s="210"/>
      <c r="J23" s="210"/>
      <c r="K23" s="284" t="str">
        <f>B14&amp;M8</f>
        <v>PT_BE_12Emp/Spouse</v>
      </c>
      <c r="L23" s="296">
        <f t="shared" si="1"/>
        <v>1189.2</v>
      </c>
      <c r="M23" s="285">
        <v>0.18</v>
      </c>
      <c r="N23" s="286">
        <v>50</v>
      </c>
      <c r="O23" s="210"/>
    </row>
    <row r="24" spans="2:15" hidden="1" x14ac:dyDescent="0.2">
      <c r="B24" s="210"/>
      <c r="C24" s="210"/>
      <c r="D24" s="210"/>
      <c r="E24" s="210"/>
      <c r="F24" s="210"/>
      <c r="G24" s="210"/>
      <c r="H24" s="210"/>
      <c r="I24" s="210"/>
      <c r="J24" s="210"/>
      <c r="K24" s="284" t="str">
        <f>B14&amp;M9</f>
        <v>PT_BE_12Emp Only</v>
      </c>
      <c r="L24" s="296">
        <f t="shared" si="1"/>
        <v>780.24</v>
      </c>
      <c r="M24" s="285">
        <v>0.18</v>
      </c>
      <c r="N24" s="286">
        <v>50</v>
      </c>
      <c r="O24" s="210"/>
    </row>
    <row r="25" spans="2:15" hidden="1" x14ac:dyDescent="0.2">
      <c r="B25" s="210"/>
      <c r="C25" s="210"/>
      <c r="D25" s="210"/>
      <c r="E25" s="210"/>
      <c r="F25" s="210"/>
      <c r="G25" s="210"/>
      <c r="H25" s="210"/>
      <c r="I25" s="210"/>
      <c r="J25" s="210"/>
      <c r="K25" s="284" t="str">
        <f>B14&amp;G17</f>
        <v>PT_BE_12Grad Res Asst</v>
      </c>
      <c r="L25" s="296">
        <f>O10</f>
        <v>746.09</v>
      </c>
      <c r="M25" s="285">
        <v>0.08</v>
      </c>
      <c r="N25" s="286">
        <v>100</v>
      </c>
      <c r="O25" s="210"/>
    </row>
    <row r="26" spans="2:15" hidden="1" x14ac:dyDescent="0.2">
      <c r="B26" s="210"/>
      <c r="C26" s="210"/>
      <c r="D26" s="210"/>
      <c r="E26" s="210"/>
      <c r="F26" s="210"/>
      <c r="G26" s="210"/>
      <c r="H26" s="210"/>
      <c r="I26" s="210"/>
      <c r="J26" s="210"/>
      <c r="K26" s="284" t="str">
        <f>B14&amp;G18</f>
        <v>PT_BE_12None</v>
      </c>
      <c r="L26" s="296">
        <v>0</v>
      </c>
      <c r="M26" s="285">
        <v>0.08</v>
      </c>
      <c r="N26" s="286">
        <v>0</v>
      </c>
      <c r="O26" s="210"/>
    </row>
    <row r="27" spans="2:15" hidden="1" x14ac:dyDescent="0.2">
      <c r="B27" s="210"/>
      <c r="C27" s="210"/>
      <c r="D27" s="210"/>
      <c r="E27" s="210"/>
      <c r="F27" s="210"/>
      <c r="G27" s="210"/>
      <c r="H27" s="210"/>
      <c r="I27" s="210"/>
      <c r="J27" s="210"/>
      <c r="K27" s="284" t="str">
        <f>B14&amp;G12</f>
        <v>PT_BE_12Select One</v>
      </c>
      <c r="L27" s="297">
        <v>0</v>
      </c>
      <c r="M27" s="285">
        <v>0</v>
      </c>
      <c r="N27" s="286">
        <v>0</v>
      </c>
      <c r="O27" s="210"/>
    </row>
    <row r="28" spans="2:15" hidden="1" x14ac:dyDescent="0.2">
      <c r="B28" s="210"/>
      <c r="C28" s="210"/>
      <c r="D28" s="210"/>
      <c r="E28" s="210"/>
      <c r="F28" s="210"/>
      <c r="G28" s="210"/>
      <c r="H28" s="210"/>
      <c r="I28" s="210"/>
      <c r="J28" s="210"/>
      <c r="K28" s="288" t="str">
        <f>B15&amp;H13</f>
        <v>PT_NB_12None</v>
      </c>
      <c r="L28" s="298">
        <v>0</v>
      </c>
      <c r="M28" s="289">
        <v>0.08</v>
      </c>
      <c r="N28" s="290">
        <v>0</v>
      </c>
      <c r="O28" s="210"/>
    </row>
    <row r="29" spans="2:15" hidden="1" x14ac:dyDescent="0.2">
      <c r="B29" s="210"/>
      <c r="C29" s="210"/>
      <c r="D29" s="210"/>
      <c r="E29" s="210"/>
      <c r="F29" s="210"/>
      <c r="G29" s="210"/>
      <c r="H29" s="210"/>
      <c r="I29" s="210"/>
      <c r="J29" s="210"/>
      <c r="K29" s="291" t="str">
        <f>B16&amp;J13</f>
        <v>HourlyNone</v>
      </c>
      <c r="L29" s="299">
        <v>0</v>
      </c>
      <c r="M29" s="292">
        <v>0.08</v>
      </c>
      <c r="N29" s="293">
        <v>0</v>
      </c>
      <c r="O29" s="210"/>
    </row>
    <row r="30" spans="2:15" hidden="1" x14ac:dyDescent="0.2">
      <c r="B30" s="210"/>
      <c r="C30" s="210"/>
      <c r="D30" s="210"/>
      <c r="E30" s="210"/>
      <c r="F30" s="210"/>
      <c r="G30" s="210"/>
      <c r="H30" s="210"/>
      <c r="I30" s="210"/>
      <c r="J30" s="210"/>
      <c r="K30" s="287" t="str">
        <f>B12&amp;E12</f>
        <v>FT_BE_09Select One</v>
      </c>
      <c r="L30" s="276">
        <v>0</v>
      </c>
      <c r="M30" s="277">
        <v>0</v>
      </c>
      <c r="N30" s="278">
        <v>0</v>
      </c>
      <c r="O30" s="210"/>
    </row>
    <row r="31" spans="2:15" hidden="1" x14ac:dyDescent="0.2">
      <c r="B31" s="210"/>
      <c r="C31" s="210"/>
      <c r="D31" s="210"/>
      <c r="E31" s="210"/>
      <c r="F31" s="210"/>
      <c r="G31" s="210"/>
      <c r="H31" s="210"/>
      <c r="I31" s="210"/>
      <c r="J31" s="210"/>
      <c r="K31" s="283" t="str">
        <f>B13&amp;F12</f>
        <v>FT_BE_12Select One</v>
      </c>
      <c r="L31" s="280">
        <v>0</v>
      </c>
      <c r="M31" s="281">
        <v>0</v>
      </c>
      <c r="N31" s="282">
        <v>0</v>
      </c>
      <c r="O31" s="210"/>
    </row>
    <row r="32" spans="2:15" hidden="1" x14ac:dyDescent="0.2">
      <c r="B32" s="210"/>
      <c r="C32" s="210"/>
      <c r="D32" s="210"/>
      <c r="E32" s="210"/>
      <c r="F32" s="210"/>
      <c r="G32" s="210"/>
      <c r="H32" s="210"/>
      <c r="I32" s="210"/>
      <c r="J32" s="210"/>
      <c r="K32" s="287" t="str">
        <f>B12&amp;E17</f>
        <v>FT_BE_09None</v>
      </c>
      <c r="L32" s="276">
        <v>0</v>
      </c>
      <c r="M32" s="277">
        <v>0.18</v>
      </c>
      <c r="N32" s="278">
        <v>0</v>
      </c>
      <c r="O32" s="210"/>
    </row>
    <row r="33" spans="1:19" hidden="1" x14ac:dyDescent="0.2">
      <c r="B33" s="210"/>
      <c r="C33" s="210"/>
      <c r="D33" s="210"/>
      <c r="E33" s="210"/>
      <c r="F33" s="210"/>
      <c r="G33" s="210"/>
      <c r="H33" s="210"/>
      <c r="I33" s="210"/>
      <c r="J33" s="210"/>
      <c r="K33" s="288" t="str">
        <f>B15&amp;H12</f>
        <v>PT_NB_12Select One</v>
      </c>
      <c r="L33" s="298">
        <v>0</v>
      </c>
      <c r="M33" s="289">
        <v>0</v>
      </c>
      <c r="N33" s="290">
        <v>0</v>
      </c>
      <c r="O33" s="210"/>
    </row>
    <row r="34" spans="1:19" hidden="1" x14ac:dyDescent="0.2">
      <c r="B34" s="210"/>
      <c r="C34" s="210"/>
      <c r="D34" s="210"/>
      <c r="E34" s="210"/>
      <c r="F34" s="210"/>
      <c r="G34" s="210"/>
      <c r="H34" s="210"/>
      <c r="I34" s="210"/>
      <c r="J34" s="210"/>
      <c r="K34" s="291" t="str">
        <f>B16&amp;J12</f>
        <v>HourlySelect One</v>
      </c>
      <c r="L34" s="299">
        <v>0</v>
      </c>
      <c r="M34" s="292">
        <v>0</v>
      </c>
      <c r="N34" s="293">
        <v>0</v>
      </c>
      <c r="O34" s="210"/>
    </row>
    <row r="35" spans="1:19" ht="13.5" hidden="1" thickBot="1" x14ac:dyDescent="0.25">
      <c r="B35" s="210"/>
      <c r="C35" s="210"/>
      <c r="D35" s="210"/>
      <c r="E35" s="210"/>
      <c r="F35" s="210"/>
      <c r="G35" s="210"/>
      <c r="H35" s="210"/>
      <c r="I35" s="210"/>
      <c r="J35" s="210"/>
      <c r="K35" s="215" t="str">
        <f>B17&amp;I12</f>
        <v>SelectSelect One</v>
      </c>
      <c r="L35" s="217"/>
      <c r="M35" s="317"/>
      <c r="N35" s="216"/>
      <c r="O35" s="210"/>
    </row>
    <row r="36" spans="1:19" ht="18" customHeight="1" thickBot="1" x14ac:dyDescent="0.25">
      <c r="A36" s="490"/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</row>
    <row r="37" spans="1:19" ht="13.5" customHeight="1" x14ac:dyDescent="0.2">
      <c r="A37" s="414" t="s">
        <v>90</v>
      </c>
      <c r="B37" s="494" t="s">
        <v>91</v>
      </c>
      <c r="C37" s="495"/>
      <c r="D37" s="495"/>
      <c r="E37" s="495"/>
      <c r="F37" s="495"/>
      <c r="G37" s="495"/>
      <c r="H37" s="495"/>
      <c r="I37" s="495"/>
      <c r="J37" s="495"/>
      <c r="K37" s="496" t="s">
        <v>92</v>
      </c>
      <c r="L37" s="497"/>
      <c r="M37" s="234">
        <f>SUM(M39:M65)</f>
        <v>0</v>
      </c>
      <c r="N37" s="234">
        <f>SUM(N39:N65)</f>
        <v>0</v>
      </c>
      <c r="O37" s="235">
        <f>SUM(O39:O65)</f>
        <v>0</v>
      </c>
    </row>
    <row r="38" spans="1:19" ht="49.9" customHeight="1" x14ac:dyDescent="0.2">
      <c r="A38" s="415"/>
      <c r="B38" s="491" t="s">
        <v>93</v>
      </c>
      <c r="C38" s="491"/>
      <c r="D38" s="34" t="s">
        <v>94</v>
      </c>
      <c r="E38" s="34" t="s">
        <v>95</v>
      </c>
      <c r="F38" s="140" t="s">
        <v>96</v>
      </c>
      <c r="G38" s="492" t="s">
        <v>97</v>
      </c>
      <c r="H38" s="493"/>
      <c r="I38" s="34" t="s">
        <v>98</v>
      </c>
      <c r="J38" s="34" t="s">
        <v>99</v>
      </c>
      <c r="K38" s="34" t="s">
        <v>100</v>
      </c>
      <c r="L38" s="34" t="s">
        <v>101</v>
      </c>
      <c r="M38" s="34" t="s">
        <v>205</v>
      </c>
      <c r="N38" s="34" t="s">
        <v>206</v>
      </c>
      <c r="O38" s="141" t="s">
        <v>104</v>
      </c>
      <c r="P38" s="142"/>
      <c r="S38" s="5"/>
    </row>
    <row r="39" spans="1:19" ht="13.5" customHeight="1" x14ac:dyDescent="0.2">
      <c r="A39" s="415"/>
      <c r="B39" s="383" t="str">
        <f>IF('Per5'!B39&lt;&gt;"",'Per5'!B39,"")</f>
        <v/>
      </c>
      <c r="C39" s="383"/>
      <c r="D39" s="60" t="str">
        <f>IF('Per5'!D39&lt;&gt;"",'Per5'!D39,"")</f>
        <v/>
      </c>
      <c r="E39" s="143" t="str">
        <f>'Per1'!E39</f>
        <v>Select</v>
      </c>
      <c r="F39" s="144" t="str">
        <f>'Per1'!F39</f>
        <v>Select One</v>
      </c>
      <c r="G39" s="481">
        <f>IF(E39="Hourly",ROUND('Per5'!G39*1.03,2),ROUND('Per5'!G39*1.03,0))</f>
        <v>0</v>
      </c>
      <c r="H39" s="482"/>
      <c r="I39" s="6"/>
      <c r="J39" s="27"/>
      <c r="K39" s="209">
        <f>IF(E39="Hourly",I39*J39/173.33,I39*J39/100)</f>
        <v>0</v>
      </c>
      <c r="L39" s="7" t="str">
        <f t="shared" ref="L39:L65" si="2">IF(M39&lt;&gt;0,SUM(N39/M39),"-")</f>
        <v>-</v>
      </c>
      <c r="M39" s="19">
        <f t="shared" ref="M39:M65" si="3">ROUND((G39*I39*J39*VLOOKUP(E39,$B$12:$C$17,2,FALSE)),0)</f>
        <v>0</v>
      </c>
      <c r="N39" s="19">
        <f t="shared" ref="N39:N65" si="4">ROUND(M39*VLOOKUP(E39&amp;F39,$K$12:$N$35,3,FALSE)+VLOOKUP(E39&amp;F39,$K$12:$N$35,2,FALSE)*MIN(J39,VLOOKUP(E39&amp;F39,$K$12:$N$35,4,FALSE))*I39/100,0)</f>
        <v>0</v>
      </c>
      <c r="O39" s="20">
        <f t="shared" ref="O39:O65" si="5">M39+N39</f>
        <v>0</v>
      </c>
      <c r="P39" s="145"/>
      <c r="Q39" s="14" t="s">
        <v>105</v>
      </c>
      <c r="S39" s="133"/>
    </row>
    <row r="40" spans="1:19" ht="13.5" customHeight="1" x14ac:dyDescent="0.2">
      <c r="A40" s="415"/>
      <c r="B40" s="383" t="str">
        <f>IF('Per5'!B40&lt;&gt;"",'Per5'!B40,"")</f>
        <v/>
      </c>
      <c r="C40" s="383"/>
      <c r="D40" s="60" t="str">
        <f>IF('Per5'!D40&lt;&gt;"",'Per5'!D40,"")</f>
        <v/>
      </c>
      <c r="E40" s="143" t="str">
        <f>'Per1'!E40</f>
        <v>Select</v>
      </c>
      <c r="F40" s="144" t="str">
        <f>'Per1'!F40</f>
        <v>Select One</v>
      </c>
      <c r="G40" s="481">
        <f>IF(E40="Hourly",ROUND('Per5'!G40*1.03,2),ROUND('Per5'!G40*1.03,0))</f>
        <v>0</v>
      </c>
      <c r="H40" s="482"/>
      <c r="I40" s="6"/>
      <c r="J40" s="27"/>
      <c r="K40" s="209">
        <f t="shared" ref="K40:K65" si="6">IF(E40="Hourly",I40*J40/173.33,I40*J40/100)</f>
        <v>0</v>
      </c>
      <c r="L40" s="7" t="str">
        <f t="shared" si="2"/>
        <v>-</v>
      </c>
      <c r="M40" s="19">
        <f t="shared" si="3"/>
        <v>0</v>
      </c>
      <c r="N40" s="19">
        <f t="shared" si="4"/>
        <v>0</v>
      </c>
      <c r="O40" s="8">
        <f t="shared" si="5"/>
        <v>0</v>
      </c>
      <c r="P40" s="30"/>
      <c r="Q40" s="14" t="s">
        <v>106</v>
      </c>
      <c r="S40" s="133"/>
    </row>
    <row r="41" spans="1:19" ht="13.5" customHeight="1" x14ac:dyDescent="0.2">
      <c r="A41" s="415"/>
      <c r="B41" s="383" t="str">
        <f>IF('Per5'!B41&lt;&gt;"",'Per5'!B41,"")</f>
        <v/>
      </c>
      <c r="C41" s="383"/>
      <c r="D41" s="60" t="str">
        <f>IF('Per5'!D41&lt;&gt;"",'Per5'!D41,"")</f>
        <v/>
      </c>
      <c r="E41" s="143" t="str">
        <f>'Per1'!E41</f>
        <v>Select</v>
      </c>
      <c r="F41" s="144" t="str">
        <f>'Per1'!F41</f>
        <v>Select One</v>
      </c>
      <c r="G41" s="481">
        <f>IF(E41="Hourly",ROUND('Per5'!G41*1.03,2),ROUND('Per5'!G41*1.03,0))</f>
        <v>0</v>
      </c>
      <c r="H41" s="482"/>
      <c r="I41" s="6"/>
      <c r="J41" s="27"/>
      <c r="K41" s="209">
        <f t="shared" si="6"/>
        <v>0</v>
      </c>
      <c r="L41" s="7" t="str">
        <f t="shared" si="2"/>
        <v>-</v>
      </c>
      <c r="M41" s="19">
        <f t="shared" si="3"/>
        <v>0</v>
      </c>
      <c r="N41" s="19">
        <f t="shared" si="4"/>
        <v>0</v>
      </c>
      <c r="O41" s="8">
        <f t="shared" si="5"/>
        <v>0</v>
      </c>
      <c r="P41" s="30"/>
      <c r="Q41" s="14" t="s">
        <v>107</v>
      </c>
      <c r="S41" s="133"/>
    </row>
    <row r="42" spans="1:19" ht="13.5" customHeight="1" x14ac:dyDescent="0.2">
      <c r="A42" s="415"/>
      <c r="B42" s="383" t="str">
        <f>IF('Per5'!B42&lt;&gt;"",'Per5'!B42,"")</f>
        <v/>
      </c>
      <c r="C42" s="383"/>
      <c r="D42" s="60" t="str">
        <f>IF('Per5'!D42&lt;&gt;"",'Per5'!D42,"")</f>
        <v/>
      </c>
      <c r="E42" s="143" t="str">
        <f>'Per1'!E42</f>
        <v>Select</v>
      </c>
      <c r="F42" s="144" t="str">
        <f>'Per1'!F42</f>
        <v>Select One</v>
      </c>
      <c r="G42" s="481">
        <f>IF(E42="Hourly",ROUND('Per5'!G42*1.03,2),ROUND('Per5'!G42*1.03,0))</f>
        <v>0</v>
      </c>
      <c r="H42" s="482"/>
      <c r="I42" s="6"/>
      <c r="J42" s="27"/>
      <c r="K42" s="209">
        <f t="shared" si="6"/>
        <v>0</v>
      </c>
      <c r="L42" s="7" t="str">
        <f t="shared" si="2"/>
        <v>-</v>
      </c>
      <c r="M42" s="19">
        <f t="shared" si="3"/>
        <v>0</v>
      </c>
      <c r="N42" s="19">
        <f t="shared" si="4"/>
        <v>0</v>
      </c>
      <c r="O42" s="8">
        <f t="shared" si="5"/>
        <v>0</v>
      </c>
      <c r="P42" s="30"/>
      <c r="Q42" s="14" t="s">
        <v>108</v>
      </c>
      <c r="S42" s="133"/>
    </row>
    <row r="43" spans="1:19" ht="13.5" customHeight="1" x14ac:dyDescent="0.2">
      <c r="A43" s="415"/>
      <c r="B43" s="383" t="str">
        <f>IF('Per5'!B43&lt;&gt;"",'Per5'!B43,"")</f>
        <v/>
      </c>
      <c r="C43" s="383"/>
      <c r="D43" s="60" t="str">
        <f>IF('Per5'!D43&lt;&gt;"",'Per5'!D43,"")</f>
        <v/>
      </c>
      <c r="E43" s="143" t="str">
        <f>'Per1'!E43</f>
        <v>Select</v>
      </c>
      <c r="F43" s="144" t="str">
        <f>'Per1'!F43</f>
        <v>Select One</v>
      </c>
      <c r="G43" s="481">
        <f>IF(E43="Hourly",ROUND('Per5'!G43*1.03,2),ROUND('Per5'!G43*1.03,0))</f>
        <v>0</v>
      </c>
      <c r="H43" s="482"/>
      <c r="I43" s="6"/>
      <c r="J43" s="27"/>
      <c r="K43" s="209">
        <f t="shared" si="6"/>
        <v>0</v>
      </c>
      <c r="L43" s="7" t="str">
        <f t="shared" si="2"/>
        <v>-</v>
      </c>
      <c r="M43" s="19">
        <f t="shared" si="3"/>
        <v>0</v>
      </c>
      <c r="N43" s="19">
        <f t="shared" si="4"/>
        <v>0</v>
      </c>
      <c r="O43" s="8">
        <f t="shared" si="5"/>
        <v>0</v>
      </c>
      <c r="P43" s="30"/>
      <c r="Q43" s="14" t="s">
        <v>109</v>
      </c>
      <c r="S43" s="133"/>
    </row>
    <row r="44" spans="1:19" ht="13.5" customHeight="1" x14ac:dyDescent="0.2">
      <c r="A44" s="415"/>
      <c r="B44" s="383" t="str">
        <f>IF('Per5'!B44&lt;&gt;"",'Per5'!B44,"")</f>
        <v/>
      </c>
      <c r="C44" s="383"/>
      <c r="D44" s="60" t="str">
        <f>IF('Per5'!D44&lt;&gt;"",'Per5'!D44,"")</f>
        <v/>
      </c>
      <c r="E44" s="143" t="str">
        <f>'Per1'!E44</f>
        <v>Select</v>
      </c>
      <c r="F44" s="144" t="str">
        <f>'Per1'!F44</f>
        <v>Select One</v>
      </c>
      <c r="G44" s="481">
        <f>IF(E44="Hourly",ROUND('Per5'!G44*1.03,2),ROUND('Per5'!G44*1.03,0))</f>
        <v>0</v>
      </c>
      <c r="H44" s="482"/>
      <c r="I44" s="6"/>
      <c r="J44" s="27"/>
      <c r="K44" s="209">
        <f t="shared" si="6"/>
        <v>0</v>
      </c>
      <c r="L44" s="7" t="str">
        <f t="shared" si="2"/>
        <v>-</v>
      </c>
      <c r="M44" s="19">
        <f t="shared" si="3"/>
        <v>0</v>
      </c>
      <c r="N44" s="19">
        <f t="shared" si="4"/>
        <v>0</v>
      </c>
      <c r="O44" s="8">
        <f t="shared" si="5"/>
        <v>0</v>
      </c>
      <c r="P44" s="30"/>
      <c r="Q44" s="14" t="s">
        <v>110</v>
      </c>
      <c r="S44" s="146"/>
    </row>
    <row r="45" spans="1:19" ht="13.5" customHeight="1" x14ac:dyDescent="0.2">
      <c r="A45" s="415"/>
      <c r="B45" s="383" t="str">
        <f>IF('Per5'!B45&lt;&gt;"",'Per5'!B45,"")</f>
        <v/>
      </c>
      <c r="C45" s="383"/>
      <c r="D45" s="60" t="str">
        <f>IF('Per5'!D45&lt;&gt;"",'Per5'!D45,"")</f>
        <v/>
      </c>
      <c r="E45" s="143" t="str">
        <f>'Per1'!E45</f>
        <v>Select</v>
      </c>
      <c r="F45" s="144" t="str">
        <f>'Per1'!F45</f>
        <v>Select One</v>
      </c>
      <c r="G45" s="481">
        <f>IF(E45="Hourly",ROUND('Per5'!G45*1.03,2),ROUND('Per5'!G45*1.03,0))</f>
        <v>0</v>
      </c>
      <c r="H45" s="482"/>
      <c r="I45" s="6"/>
      <c r="J45" s="27"/>
      <c r="K45" s="209">
        <f t="shared" si="6"/>
        <v>0</v>
      </c>
      <c r="L45" s="7" t="str">
        <f t="shared" si="2"/>
        <v>-</v>
      </c>
      <c r="M45" s="19">
        <f t="shared" si="3"/>
        <v>0</v>
      </c>
      <c r="N45" s="19">
        <f t="shared" si="4"/>
        <v>0</v>
      </c>
      <c r="O45" s="8">
        <f t="shared" si="5"/>
        <v>0</v>
      </c>
      <c r="P45" s="30"/>
      <c r="Q45" s="14"/>
      <c r="S45" s="146"/>
    </row>
    <row r="46" spans="1:19" ht="13.5" customHeight="1" x14ac:dyDescent="0.2">
      <c r="A46" s="415"/>
      <c r="B46" s="383" t="str">
        <f>IF('Per5'!B46&lt;&gt;"",'Per5'!B46,"")</f>
        <v/>
      </c>
      <c r="C46" s="383"/>
      <c r="D46" s="60" t="str">
        <f>IF('Per5'!D46&lt;&gt;"",'Per5'!D46,"")</f>
        <v/>
      </c>
      <c r="E46" s="143" t="str">
        <f>'Per1'!E46</f>
        <v>Select</v>
      </c>
      <c r="F46" s="144" t="str">
        <f>'Per1'!F46</f>
        <v>Select One</v>
      </c>
      <c r="G46" s="481">
        <f>IF(E46="Hourly",ROUND('Per5'!G46*1.03,2),ROUND('Per5'!G46*1.03,0))</f>
        <v>0</v>
      </c>
      <c r="H46" s="482"/>
      <c r="I46" s="6"/>
      <c r="J46" s="27"/>
      <c r="K46" s="209">
        <f t="shared" si="6"/>
        <v>0</v>
      </c>
      <c r="L46" s="7" t="str">
        <f t="shared" si="2"/>
        <v>-</v>
      </c>
      <c r="M46" s="19">
        <f t="shared" si="3"/>
        <v>0</v>
      </c>
      <c r="N46" s="19">
        <f t="shared" si="4"/>
        <v>0</v>
      </c>
      <c r="O46" s="8">
        <f t="shared" si="5"/>
        <v>0</v>
      </c>
      <c r="P46" s="30"/>
      <c r="Q46" s="14"/>
      <c r="S46" s="146"/>
    </row>
    <row r="47" spans="1:19" ht="13.5" customHeight="1" x14ac:dyDescent="0.2">
      <c r="A47" s="415"/>
      <c r="B47" s="383" t="str">
        <f>IF('Per5'!B47&lt;&gt;"",'Per5'!B47,"")</f>
        <v/>
      </c>
      <c r="C47" s="383"/>
      <c r="D47" s="60" t="str">
        <f>IF('Per5'!D47&lt;&gt;"",'Per5'!D47,"")</f>
        <v/>
      </c>
      <c r="E47" s="143" t="str">
        <f>'Per1'!E47</f>
        <v>Select</v>
      </c>
      <c r="F47" s="144" t="str">
        <f>'Per1'!F47</f>
        <v>Select One</v>
      </c>
      <c r="G47" s="481">
        <f>IF(E47="Hourly",ROUND('Per5'!G47*1.03,2),ROUND('Per5'!G47*1.03,0))</f>
        <v>0</v>
      </c>
      <c r="H47" s="482"/>
      <c r="I47" s="6"/>
      <c r="J47" s="27"/>
      <c r="K47" s="209">
        <f t="shared" si="6"/>
        <v>0</v>
      </c>
      <c r="L47" s="7" t="str">
        <f t="shared" si="2"/>
        <v>-</v>
      </c>
      <c r="M47" s="19">
        <f t="shared" si="3"/>
        <v>0</v>
      </c>
      <c r="N47" s="19">
        <f t="shared" si="4"/>
        <v>0</v>
      </c>
      <c r="O47" s="8">
        <f t="shared" si="5"/>
        <v>0</v>
      </c>
      <c r="P47" s="30"/>
      <c r="Q47" s="14"/>
      <c r="S47" s="146"/>
    </row>
    <row r="48" spans="1:19" ht="13.5" customHeight="1" thickBot="1" x14ac:dyDescent="0.25">
      <c r="A48" s="415"/>
      <c r="B48" s="383" t="str">
        <f>IF('Per5'!B48&lt;&gt;"",'Per5'!B48,"")</f>
        <v/>
      </c>
      <c r="C48" s="383"/>
      <c r="D48" s="60" t="str">
        <f>IF('Per5'!D48&lt;&gt;"",'Per5'!D48,"")</f>
        <v/>
      </c>
      <c r="E48" s="143" t="str">
        <f>'Per1'!E48</f>
        <v>Select</v>
      </c>
      <c r="F48" s="144" t="str">
        <f>'Per1'!F48</f>
        <v>Select One</v>
      </c>
      <c r="G48" s="481">
        <f>IF(E48="Hourly",ROUND('Per5'!G48*1.03,2),ROUND('Per5'!G48*1.03,0))</f>
        <v>0</v>
      </c>
      <c r="H48" s="482"/>
      <c r="I48" s="6"/>
      <c r="J48" s="27"/>
      <c r="K48" s="209">
        <f t="shared" si="6"/>
        <v>0</v>
      </c>
      <c r="L48" s="7" t="str">
        <f t="shared" si="2"/>
        <v>-</v>
      </c>
      <c r="M48" s="19">
        <f t="shared" si="3"/>
        <v>0</v>
      </c>
      <c r="N48" s="19">
        <f t="shared" si="4"/>
        <v>0</v>
      </c>
      <c r="O48" s="8">
        <f t="shared" si="5"/>
        <v>0</v>
      </c>
      <c r="P48" s="30"/>
      <c r="Q48" s="14"/>
      <c r="S48" s="146"/>
    </row>
    <row r="49" spans="1:19" ht="13.5" hidden="1" customHeight="1" x14ac:dyDescent="0.2">
      <c r="A49" s="415"/>
      <c r="B49" s="383" t="str">
        <f>IF('Per5'!B49&lt;&gt;"",'Per5'!B49,"")</f>
        <v/>
      </c>
      <c r="C49" s="383"/>
      <c r="D49" s="60" t="str">
        <f>IF('Per5'!D49&lt;&gt;"",'Per5'!D49,"")</f>
        <v/>
      </c>
      <c r="E49" s="143" t="str">
        <f>'Per1'!E49</f>
        <v>Select</v>
      </c>
      <c r="F49" s="144" t="str">
        <f>'Per1'!F49</f>
        <v>Select One</v>
      </c>
      <c r="G49" s="481">
        <f>IF(E49="Hourly",ROUND('Per5'!G67*1.03,2),ROUND('Per5'!G67*1.03,0))</f>
        <v>0</v>
      </c>
      <c r="H49" s="482"/>
      <c r="I49" s="6"/>
      <c r="J49" s="27"/>
      <c r="K49" s="209">
        <f t="shared" si="6"/>
        <v>0</v>
      </c>
      <c r="L49" s="7" t="str">
        <f t="shared" si="2"/>
        <v>-</v>
      </c>
      <c r="M49" s="19">
        <f t="shared" si="3"/>
        <v>0</v>
      </c>
      <c r="N49" s="19">
        <f t="shared" si="4"/>
        <v>0</v>
      </c>
      <c r="O49" s="8">
        <f t="shared" si="5"/>
        <v>0</v>
      </c>
      <c r="P49" s="30"/>
      <c r="Q49" s="224" t="s">
        <v>111</v>
      </c>
      <c r="S49" s="146"/>
    </row>
    <row r="50" spans="1:19" ht="13.5" hidden="1" customHeight="1" x14ac:dyDescent="0.2">
      <c r="A50" s="415"/>
      <c r="B50" s="383" t="str">
        <f>IF('Per5'!B50&lt;&gt;"",'Per5'!B50,"")</f>
        <v/>
      </c>
      <c r="C50" s="383"/>
      <c r="D50" s="60" t="str">
        <f>IF('Per5'!D50&lt;&gt;"",'Per5'!D50,"")</f>
        <v/>
      </c>
      <c r="E50" s="143" t="str">
        <f>'Per1'!E50</f>
        <v>Select</v>
      </c>
      <c r="F50" s="144" t="str">
        <f>'Per1'!F50</f>
        <v>Select One</v>
      </c>
      <c r="G50" s="481">
        <f>IF(E50="Hourly",ROUND('Per5'!G50*1.03,2),ROUND('Per5'!G50*1.03,0))</f>
        <v>0</v>
      </c>
      <c r="H50" s="482"/>
      <c r="I50" s="6"/>
      <c r="J50" s="27"/>
      <c r="K50" s="209">
        <f t="shared" si="6"/>
        <v>0</v>
      </c>
      <c r="L50" s="7" t="str">
        <f t="shared" si="2"/>
        <v>-</v>
      </c>
      <c r="M50" s="19">
        <f t="shared" si="3"/>
        <v>0</v>
      </c>
      <c r="N50" s="19">
        <f t="shared" si="4"/>
        <v>0</v>
      </c>
      <c r="O50" s="8">
        <f t="shared" si="5"/>
        <v>0</v>
      </c>
      <c r="P50" s="30"/>
      <c r="Q50" s="14"/>
      <c r="S50" s="146"/>
    </row>
    <row r="51" spans="1:19" ht="13.5" hidden="1" customHeight="1" x14ac:dyDescent="0.2">
      <c r="A51" s="415"/>
      <c r="B51" s="383" t="str">
        <f>IF('Per5'!B51&lt;&gt;"",'Per5'!B51,"")</f>
        <v/>
      </c>
      <c r="C51" s="383"/>
      <c r="D51" s="60" t="str">
        <f>IF('Per5'!D51&lt;&gt;"",'Per5'!D51,"")</f>
        <v/>
      </c>
      <c r="E51" s="143" t="str">
        <f>'Per1'!E51</f>
        <v>Select</v>
      </c>
      <c r="F51" s="144" t="str">
        <f>'Per1'!F51</f>
        <v>Select One</v>
      </c>
      <c r="G51" s="481">
        <f>IF(E51="Hourly",ROUND('Per5'!G51*1.03,2),ROUND('Per5'!G51*1.03,0))</f>
        <v>0</v>
      </c>
      <c r="H51" s="482"/>
      <c r="I51" s="6"/>
      <c r="J51" s="27"/>
      <c r="K51" s="209">
        <f t="shared" si="6"/>
        <v>0</v>
      </c>
      <c r="L51" s="7" t="str">
        <f t="shared" si="2"/>
        <v>-</v>
      </c>
      <c r="M51" s="19">
        <f t="shared" si="3"/>
        <v>0</v>
      </c>
      <c r="N51" s="19">
        <f t="shared" si="4"/>
        <v>0</v>
      </c>
      <c r="O51" s="8">
        <f t="shared" si="5"/>
        <v>0</v>
      </c>
      <c r="P51" s="30"/>
      <c r="Q51" s="14"/>
      <c r="S51" s="146"/>
    </row>
    <row r="52" spans="1:19" ht="13.5" hidden="1" customHeight="1" x14ac:dyDescent="0.2">
      <c r="A52" s="415"/>
      <c r="B52" s="383" t="str">
        <f>IF('Per5'!B52&lt;&gt;"",'Per5'!B52,"")</f>
        <v/>
      </c>
      <c r="C52" s="383"/>
      <c r="D52" s="60" t="str">
        <f>IF('Per5'!D52&lt;&gt;"",'Per5'!D52,"")</f>
        <v/>
      </c>
      <c r="E52" s="143" t="str">
        <f>'Per1'!E52</f>
        <v>Select</v>
      </c>
      <c r="F52" s="144" t="str">
        <f>'Per1'!F52</f>
        <v>Select One</v>
      </c>
      <c r="G52" s="481">
        <f>IF(E52="Hourly",ROUND('Per5'!G52*1.03,2),ROUND('Per5'!G52*1.03,0))</f>
        <v>0</v>
      </c>
      <c r="H52" s="482"/>
      <c r="I52" s="6"/>
      <c r="J52" s="27"/>
      <c r="K52" s="209">
        <f t="shared" si="6"/>
        <v>0</v>
      </c>
      <c r="L52" s="7" t="str">
        <f t="shared" si="2"/>
        <v>-</v>
      </c>
      <c r="M52" s="19">
        <f t="shared" si="3"/>
        <v>0</v>
      </c>
      <c r="N52" s="19">
        <f t="shared" si="4"/>
        <v>0</v>
      </c>
      <c r="O52" s="8">
        <f t="shared" si="5"/>
        <v>0</v>
      </c>
      <c r="P52" s="30"/>
      <c r="Q52" s="14"/>
      <c r="S52" s="146"/>
    </row>
    <row r="53" spans="1:19" ht="13.5" hidden="1" customHeight="1" x14ac:dyDescent="0.2">
      <c r="A53" s="415"/>
      <c r="B53" s="383" t="str">
        <f>IF('Per5'!B53&lt;&gt;"",'Per5'!B53,"")</f>
        <v/>
      </c>
      <c r="C53" s="383"/>
      <c r="D53" s="60" t="str">
        <f>IF('Per5'!D53&lt;&gt;"",'Per5'!D53,"")</f>
        <v/>
      </c>
      <c r="E53" s="143" t="str">
        <f>'Per1'!E53</f>
        <v>Select</v>
      </c>
      <c r="F53" s="144" t="str">
        <f>'Per1'!F53</f>
        <v>Select One</v>
      </c>
      <c r="G53" s="481">
        <f>IF(E53="Hourly",ROUND('Per5'!G53*1.03,2),ROUND('Per5'!G53*1.03,0))</f>
        <v>0</v>
      </c>
      <c r="H53" s="482"/>
      <c r="I53" s="6"/>
      <c r="J53" s="27"/>
      <c r="K53" s="209">
        <f t="shared" si="6"/>
        <v>0</v>
      </c>
      <c r="L53" s="7" t="str">
        <f t="shared" si="2"/>
        <v>-</v>
      </c>
      <c r="M53" s="19">
        <f t="shared" si="3"/>
        <v>0</v>
      </c>
      <c r="N53" s="19">
        <f t="shared" si="4"/>
        <v>0</v>
      </c>
      <c r="O53" s="8">
        <f t="shared" si="5"/>
        <v>0</v>
      </c>
      <c r="P53" s="30"/>
      <c r="Q53" s="14"/>
      <c r="S53" s="146"/>
    </row>
    <row r="54" spans="1:19" ht="13.5" hidden="1" customHeight="1" x14ac:dyDescent="0.2">
      <c r="A54" s="415"/>
      <c r="B54" s="383" t="str">
        <f>IF('Per5'!B54&lt;&gt;"",'Per5'!B54,"")</f>
        <v/>
      </c>
      <c r="C54" s="383"/>
      <c r="D54" s="60" t="str">
        <f>IF('Per5'!D54&lt;&gt;"",'Per5'!D54,"")</f>
        <v/>
      </c>
      <c r="E54" s="143" t="str">
        <f>'Per1'!E54</f>
        <v>Select</v>
      </c>
      <c r="F54" s="144" t="str">
        <f>'Per1'!F54</f>
        <v>Select One</v>
      </c>
      <c r="G54" s="481">
        <f>IF(E54="Hourly",ROUND('Per5'!G54*1.03,2),ROUND('Per5'!G54*1.03,0))</f>
        <v>0</v>
      </c>
      <c r="H54" s="482"/>
      <c r="I54" s="6"/>
      <c r="J54" s="27"/>
      <c r="K54" s="209">
        <f t="shared" si="6"/>
        <v>0</v>
      </c>
      <c r="L54" s="7" t="str">
        <f t="shared" si="2"/>
        <v>-</v>
      </c>
      <c r="M54" s="19">
        <f t="shared" si="3"/>
        <v>0</v>
      </c>
      <c r="N54" s="19">
        <f t="shared" si="4"/>
        <v>0</v>
      </c>
      <c r="O54" s="8">
        <f t="shared" si="5"/>
        <v>0</v>
      </c>
      <c r="P54" s="30"/>
      <c r="Q54" s="14"/>
      <c r="S54" s="146"/>
    </row>
    <row r="55" spans="1:19" ht="13.5" hidden="1" customHeight="1" x14ac:dyDescent="0.2">
      <c r="A55" s="415"/>
      <c r="B55" s="383" t="str">
        <f>IF('Per5'!B55&lt;&gt;"",'Per5'!B55,"")</f>
        <v/>
      </c>
      <c r="C55" s="383"/>
      <c r="D55" s="60" t="str">
        <f>IF('Per5'!D55&lt;&gt;"",'Per5'!D55,"")</f>
        <v/>
      </c>
      <c r="E55" s="143" t="str">
        <f>'Per1'!E55</f>
        <v>Select</v>
      </c>
      <c r="F55" s="144" t="str">
        <f>'Per1'!F55</f>
        <v>Select One</v>
      </c>
      <c r="G55" s="481">
        <f>IF(E55="Hourly",ROUND('Per5'!G55*1.03,2),ROUND('Per5'!G55*1.03,0))</f>
        <v>0</v>
      </c>
      <c r="H55" s="482"/>
      <c r="I55" s="6"/>
      <c r="J55" s="27"/>
      <c r="K55" s="209">
        <f t="shared" si="6"/>
        <v>0</v>
      </c>
      <c r="L55" s="7" t="str">
        <f t="shared" si="2"/>
        <v>-</v>
      </c>
      <c r="M55" s="19">
        <f t="shared" si="3"/>
        <v>0</v>
      </c>
      <c r="N55" s="19">
        <f t="shared" si="4"/>
        <v>0</v>
      </c>
      <c r="O55" s="8">
        <f t="shared" si="5"/>
        <v>0</v>
      </c>
      <c r="P55" s="30"/>
      <c r="Q55" s="14"/>
      <c r="S55" s="146"/>
    </row>
    <row r="56" spans="1:19" ht="13.5" hidden="1" customHeight="1" x14ac:dyDescent="0.2">
      <c r="A56" s="415"/>
      <c r="B56" s="383" t="str">
        <f>IF('Per5'!B56&lt;&gt;"",'Per5'!B56,"")</f>
        <v/>
      </c>
      <c r="C56" s="383"/>
      <c r="D56" s="60" t="str">
        <f>IF('Per5'!D56&lt;&gt;"",'Per5'!D56,"")</f>
        <v/>
      </c>
      <c r="E56" s="143" t="str">
        <f>'Per1'!E56</f>
        <v>Select</v>
      </c>
      <c r="F56" s="144" t="str">
        <f>'Per1'!F56</f>
        <v>Select One</v>
      </c>
      <c r="G56" s="481">
        <f>IF(E56="Hourly",ROUND('Per5'!G56*1.03,2),ROUND('Per5'!G56*1.03,0))</f>
        <v>0</v>
      </c>
      <c r="H56" s="482"/>
      <c r="I56" s="6"/>
      <c r="J56" s="27"/>
      <c r="K56" s="209">
        <f t="shared" si="6"/>
        <v>0</v>
      </c>
      <c r="L56" s="7" t="str">
        <f t="shared" si="2"/>
        <v>-</v>
      </c>
      <c r="M56" s="19">
        <f t="shared" si="3"/>
        <v>0</v>
      </c>
      <c r="N56" s="19">
        <f t="shared" si="4"/>
        <v>0</v>
      </c>
      <c r="O56" s="8">
        <f t="shared" si="5"/>
        <v>0</v>
      </c>
      <c r="P56" s="30"/>
      <c r="Q56" s="14"/>
      <c r="S56" s="146"/>
    </row>
    <row r="57" spans="1:19" ht="13.5" hidden="1" customHeight="1" x14ac:dyDescent="0.2">
      <c r="A57" s="415"/>
      <c r="B57" s="383" t="str">
        <f>IF('Per5'!B57&lt;&gt;"",'Per5'!B57,"")</f>
        <v/>
      </c>
      <c r="C57" s="383"/>
      <c r="D57" s="60" t="str">
        <f>IF('Per5'!D57&lt;&gt;"",'Per5'!D57,"")</f>
        <v/>
      </c>
      <c r="E57" s="143" t="str">
        <f>'Per1'!E57</f>
        <v>Select</v>
      </c>
      <c r="F57" s="144" t="str">
        <f>'Per1'!F57</f>
        <v>Select One</v>
      </c>
      <c r="G57" s="481">
        <f>IF(E57="Hourly",ROUND('Per5'!G57*1.03,2),ROUND('Per5'!G57*1.03,0))</f>
        <v>0</v>
      </c>
      <c r="H57" s="482"/>
      <c r="I57" s="6"/>
      <c r="J57" s="27"/>
      <c r="K57" s="209">
        <f t="shared" si="6"/>
        <v>0</v>
      </c>
      <c r="L57" s="7" t="str">
        <f t="shared" si="2"/>
        <v>-</v>
      </c>
      <c r="M57" s="19">
        <f t="shared" si="3"/>
        <v>0</v>
      </c>
      <c r="N57" s="19">
        <f t="shared" si="4"/>
        <v>0</v>
      </c>
      <c r="O57" s="8">
        <f t="shared" si="5"/>
        <v>0</v>
      </c>
      <c r="P57" s="30"/>
      <c r="Q57" s="14"/>
      <c r="S57" s="146"/>
    </row>
    <row r="58" spans="1:19" ht="13.5" hidden="1" customHeight="1" x14ac:dyDescent="0.2">
      <c r="A58" s="415"/>
      <c r="B58" s="383" t="str">
        <f>IF('Per5'!B58&lt;&gt;"",'Per5'!B58,"")</f>
        <v/>
      </c>
      <c r="C58" s="383"/>
      <c r="D58" s="60" t="str">
        <f>IF('Per5'!D58&lt;&gt;"",'Per5'!D58,"")</f>
        <v/>
      </c>
      <c r="E58" s="143" t="str">
        <f>'Per1'!E58</f>
        <v>Select</v>
      </c>
      <c r="F58" s="144" t="str">
        <f>'Per1'!F58</f>
        <v>Select One</v>
      </c>
      <c r="G58" s="481">
        <f>IF(E58="Hourly",ROUND('Per5'!G58*1.03,2),ROUND('Per5'!G58*1.03,0))</f>
        <v>0</v>
      </c>
      <c r="H58" s="482"/>
      <c r="I58" s="6"/>
      <c r="J58" s="27"/>
      <c r="K58" s="209">
        <f t="shared" si="6"/>
        <v>0</v>
      </c>
      <c r="L58" s="7" t="str">
        <f t="shared" si="2"/>
        <v>-</v>
      </c>
      <c r="M58" s="19">
        <f t="shared" si="3"/>
        <v>0</v>
      </c>
      <c r="N58" s="19">
        <f t="shared" si="4"/>
        <v>0</v>
      </c>
      <c r="O58" s="8">
        <f t="shared" si="5"/>
        <v>0</v>
      </c>
      <c r="P58" s="30"/>
      <c r="Q58" s="14"/>
      <c r="S58" s="146"/>
    </row>
    <row r="59" spans="1:19" ht="13.5" hidden="1" customHeight="1" x14ac:dyDescent="0.2">
      <c r="A59" s="415"/>
      <c r="B59" s="383" t="str">
        <f>IF('Per5'!B59&lt;&gt;"",'Per5'!B59,"")</f>
        <v/>
      </c>
      <c r="C59" s="383"/>
      <c r="D59" s="60" t="str">
        <f>IF('Per5'!D59&lt;&gt;"",'Per5'!D59,"")</f>
        <v/>
      </c>
      <c r="E59" s="143" t="str">
        <f>'Per1'!E59</f>
        <v>Select</v>
      </c>
      <c r="F59" s="144" t="str">
        <f>'Per1'!F59</f>
        <v>Select One</v>
      </c>
      <c r="G59" s="481">
        <f>IF(E59="Hourly",ROUND('Per5'!G59*1.03,2),ROUND('Per5'!G59*1.03,0))</f>
        <v>0</v>
      </c>
      <c r="H59" s="482"/>
      <c r="I59" s="6"/>
      <c r="J59" s="27"/>
      <c r="K59" s="209">
        <f t="shared" si="6"/>
        <v>0</v>
      </c>
      <c r="L59" s="7" t="str">
        <f t="shared" si="2"/>
        <v>-</v>
      </c>
      <c r="M59" s="19">
        <f t="shared" si="3"/>
        <v>0</v>
      </c>
      <c r="N59" s="19">
        <f t="shared" si="4"/>
        <v>0</v>
      </c>
      <c r="O59" s="8">
        <f t="shared" si="5"/>
        <v>0</v>
      </c>
      <c r="P59" s="30"/>
      <c r="Q59" s="14"/>
      <c r="S59" s="146"/>
    </row>
    <row r="60" spans="1:19" ht="13.5" hidden="1" customHeight="1" x14ac:dyDescent="0.2">
      <c r="A60" s="415"/>
      <c r="B60" s="383" t="str">
        <f>IF('Per5'!B60&lt;&gt;"",'Per5'!B60,"")</f>
        <v/>
      </c>
      <c r="C60" s="383"/>
      <c r="D60" s="60" t="str">
        <f>IF('Per5'!D60&lt;&gt;"",'Per5'!D60,"")</f>
        <v/>
      </c>
      <c r="E60" s="143" t="str">
        <f>'Per1'!E60</f>
        <v>Select</v>
      </c>
      <c r="F60" s="144" t="str">
        <f>'Per1'!F60</f>
        <v>Select One</v>
      </c>
      <c r="G60" s="481">
        <f>IF(E60="Hourly",ROUND('Per5'!G60*1.03,2),ROUND('Per5'!G60*1.03,0))</f>
        <v>0</v>
      </c>
      <c r="H60" s="482"/>
      <c r="I60" s="6"/>
      <c r="J60" s="27"/>
      <c r="K60" s="209">
        <f t="shared" si="6"/>
        <v>0</v>
      </c>
      <c r="L60" s="7" t="str">
        <f t="shared" si="2"/>
        <v>-</v>
      </c>
      <c r="M60" s="19">
        <f t="shared" si="3"/>
        <v>0</v>
      </c>
      <c r="N60" s="19">
        <f t="shared" si="4"/>
        <v>0</v>
      </c>
      <c r="O60" s="8">
        <f t="shared" si="5"/>
        <v>0</v>
      </c>
      <c r="P60" s="30"/>
      <c r="Q60" s="14"/>
      <c r="S60" s="146"/>
    </row>
    <row r="61" spans="1:19" ht="13.5" hidden="1" customHeight="1" x14ac:dyDescent="0.2">
      <c r="A61" s="415"/>
      <c r="B61" s="383" t="str">
        <f>IF('Per5'!B61&lt;&gt;"",'Per5'!B61,"")</f>
        <v/>
      </c>
      <c r="C61" s="383"/>
      <c r="D61" s="60" t="str">
        <f>IF('Per5'!D61&lt;&gt;"",'Per5'!D61,"")</f>
        <v/>
      </c>
      <c r="E61" s="143" t="str">
        <f>'Per1'!E61</f>
        <v>Select</v>
      </c>
      <c r="F61" s="144" t="str">
        <f>'Per1'!F61</f>
        <v>Select One</v>
      </c>
      <c r="G61" s="481">
        <f>IF(E61="Hourly",ROUND('Per5'!G61*1.03,2),ROUND('Per5'!G61*1.03,0))</f>
        <v>0</v>
      </c>
      <c r="H61" s="482"/>
      <c r="I61" s="6"/>
      <c r="J61" s="27"/>
      <c r="K61" s="209">
        <f t="shared" si="6"/>
        <v>0</v>
      </c>
      <c r="L61" s="7" t="str">
        <f t="shared" si="2"/>
        <v>-</v>
      </c>
      <c r="M61" s="19">
        <f t="shared" si="3"/>
        <v>0</v>
      </c>
      <c r="N61" s="19">
        <f t="shared" si="4"/>
        <v>0</v>
      </c>
      <c r="O61" s="8">
        <f t="shared" si="5"/>
        <v>0</v>
      </c>
      <c r="P61" s="30"/>
      <c r="Q61" s="14"/>
      <c r="S61" s="146"/>
    </row>
    <row r="62" spans="1:19" ht="13.5" hidden="1" customHeight="1" x14ac:dyDescent="0.2">
      <c r="A62" s="415"/>
      <c r="B62" s="383" t="str">
        <f>IF('Per5'!B62&lt;&gt;"",'Per5'!B62,"")</f>
        <v/>
      </c>
      <c r="C62" s="383"/>
      <c r="D62" s="60" t="str">
        <f>IF('Per5'!D62&lt;&gt;"",'Per5'!D62,"")</f>
        <v/>
      </c>
      <c r="E62" s="143" t="str">
        <f>'Per1'!E62</f>
        <v>Select</v>
      </c>
      <c r="F62" s="144" t="str">
        <f>'Per1'!F62</f>
        <v>Select One</v>
      </c>
      <c r="G62" s="481">
        <f>IF(E62="Hourly",ROUND('Per5'!G62*1.03,2),ROUND('Per5'!G62*1.03,0))</f>
        <v>0</v>
      </c>
      <c r="H62" s="482"/>
      <c r="I62" s="6"/>
      <c r="J62" s="27"/>
      <c r="K62" s="209">
        <f t="shared" si="6"/>
        <v>0</v>
      </c>
      <c r="L62" s="7" t="str">
        <f t="shared" si="2"/>
        <v>-</v>
      </c>
      <c r="M62" s="19">
        <f t="shared" si="3"/>
        <v>0</v>
      </c>
      <c r="N62" s="19">
        <f t="shared" si="4"/>
        <v>0</v>
      </c>
      <c r="O62" s="8">
        <f t="shared" si="5"/>
        <v>0</v>
      </c>
      <c r="P62" s="30"/>
      <c r="Q62" s="14"/>
      <c r="S62" s="146"/>
    </row>
    <row r="63" spans="1:19" ht="13.5" hidden="1" customHeight="1" x14ac:dyDescent="0.2">
      <c r="A63" s="415"/>
      <c r="B63" s="383" t="str">
        <f>IF('Per5'!B63&lt;&gt;"",'Per5'!B63,"")</f>
        <v/>
      </c>
      <c r="C63" s="383"/>
      <c r="D63" s="60" t="str">
        <f>IF('Per5'!D63&lt;&gt;"",'Per5'!D63,"")</f>
        <v/>
      </c>
      <c r="E63" s="143" t="str">
        <f>'Per1'!E63</f>
        <v>Select</v>
      </c>
      <c r="F63" s="144" t="str">
        <f>'Per1'!F63</f>
        <v>Select One</v>
      </c>
      <c r="G63" s="481">
        <f>IF(E63="Hourly",ROUND('Per5'!G63*1.03,2),ROUND('Per5'!G63*1.03,0))</f>
        <v>0</v>
      </c>
      <c r="H63" s="482"/>
      <c r="I63" s="6"/>
      <c r="J63" s="27"/>
      <c r="K63" s="209">
        <f t="shared" si="6"/>
        <v>0</v>
      </c>
      <c r="L63" s="7" t="str">
        <f t="shared" si="2"/>
        <v>-</v>
      </c>
      <c r="M63" s="19">
        <f t="shared" si="3"/>
        <v>0</v>
      </c>
      <c r="N63" s="19">
        <f t="shared" si="4"/>
        <v>0</v>
      </c>
      <c r="O63" s="8">
        <f t="shared" si="5"/>
        <v>0</v>
      </c>
      <c r="P63" s="30"/>
      <c r="Q63" s="14"/>
      <c r="S63" s="146"/>
    </row>
    <row r="64" spans="1:19" ht="13.5" hidden="1" customHeight="1" x14ac:dyDescent="0.2">
      <c r="A64" s="415"/>
      <c r="B64" s="383" t="str">
        <f>IF('Per5'!B64&lt;&gt;"",'Per5'!B64,"")</f>
        <v/>
      </c>
      <c r="C64" s="383"/>
      <c r="D64" s="60" t="str">
        <f>IF('Per5'!D64&lt;&gt;"",'Per5'!D64,"")</f>
        <v/>
      </c>
      <c r="E64" s="143" t="str">
        <f>'Per1'!E64</f>
        <v>Select</v>
      </c>
      <c r="F64" s="144" t="str">
        <f>'Per1'!F64</f>
        <v>Select One</v>
      </c>
      <c r="G64" s="481">
        <f>IF(E64="Hourly",ROUND('Per5'!G64*1.03,2),ROUND('Per5'!G64*1.03,0))</f>
        <v>0</v>
      </c>
      <c r="H64" s="482"/>
      <c r="I64" s="6"/>
      <c r="J64" s="27"/>
      <c r="K64" s="209">
        <f t="shared" si="6"/>
        <v>0</v>
      </c>
      <c r="L64" s="7" t="str">
        <f t="shared" si="2"/>
        <v>-</v>
      </c>
      <c r="M64" s="19">
        <f t="shared" si="3"/>
        <v>0</v>
      </c>
      <c r="N64" s="19">
        <f t="shared" si="4"/>
        <v>0</v>
      </c>
      <c r="O64" s="8">
        <f t="shared" si="5"/>
        <v>0</v>
      </c>
      <c r="P64" s="30"/>
      <c r="S64" s="146"/>
    </row>
    <row r="65" spans="1:19" ht="13.5" hidden="1" customHeight="1" thickBot="1" x14ac:dyDescent="0.25">
      <c r="A65" s="415"/>
      <c r="B65" s="383" t="str">
        <f>IF('Per5'!B65&lt;&gt;"",'Per5'!B65,"")</f>
        <v/>
      </c>
      <c r="C65" s="383"/>
      <c r="D65" s="60" t="str">
        <f>IF('Per5'!D65&lt;&gt;"",'Per5'!D65,"")</f>
        <v/>
      </c>
      <c r="E65" s="143" t="str">
        <f>'Per1'!E65</f>
        <v>Select</v>
      </c>
      <c r="F65" s="144" t="str">
        <f>'Per1'!F65</f>
        <v>Select One</v>
      </c>
      <c r="G65" s="481">
        <f>IF(E65="Hourly",ROUND('Per5'!G65*1.03,2),ROUND('Per5'!G65*1.03,0))</f>
        <v>0</v>
      </c>
      <c r="H65" s="482"/>
      <c r="I65" s="6"/>
      <c r="J65" s="27"/>
      <c r="K65" s="209">
        <f t="shared" si="6"/>
        <v>0</v>
      </c>
      <c r="L65" s="7" t="str">
        <f t="shared" si="2"/>
        <v>-</v>
      </c>
      <c r="M65" s="19">
        <f t="shared" si="3"/>
        <v>0</v>
      </c>
      <c r="N65" s="19">
        <f t="shared" si="4"/>
        <v>0</v>
      </c>
      <c r="O65" s="8">
        <f t="shared" si="5"/>
        <v>0</v>
      </c>
      <c r="P65" s="30"/>
      <c r="S65" s="146"/>
    </row>
    <row r="66" spans="1:19" ht="13.5" customHeight="1" x14ac:dyDescent="0.2">
      <c r="A66" s="415"/>
      <c r="B66" s="504" t="s">
        <v>112</v>
      </c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121" t="s">
        <v>27</v>
      </c>
      <c r="O66" s="139">
        <f>SUM(O67:O68)</f>
        <v>0</v>
      </c>
      <c r="P66" s="147"/>
    </row>
    <row r="67" spans="1:19" ht="13.5" customHeight="1" x14ac:dyDescent="0.2">
      <c r="A67" s="415"/>
      <c r="B67" s="383" t="s">
        <v>113</v>
      </c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4"/>
      <c r="O67" s="11"/>
      <c r="P67" s="30"/>
    </row>
    <row r="68" spans="1:19" ht="13.5" customHeight="1" thickBot="1" x14ac:dyDescent="0.25">
      <c r="A68" s="415"/>
      <c r="B68" s="383" t="s">
        <v>114</v>
      </c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4"/>
      <c r="O68" s="22"/>
      <c r="P68" s="30"/>
    </row>
    <row r="69" spans="1:19" ht="13.5" customHeight="1" x14ac:dyDescent="0.2">
      <c r="A69" s="415"/>
      <c r="B69" s="504" t="s">
        <v>115</v>
      </c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121" t="s">
        <v>27</v>
      </c>
      <c r="O69" s="139">
        <f>SUM(O70,O77:O81)</f>
        <v>0</v>
      </c>
      <c r="P69" s="147"/>
    </row>
    <row r="70" spans="1:19" ht="13.5" customHeight="1" x14ac:dyDescent="0.2">
      <c r="A70" s="415"/>
      <c r="B70" s="523" t="s">
        <v>116</v>
      </c>
      <c r="C70" s="524"/>
      <c r="D70" s="524"/>
      <c r="E70" s="524"/>
      <c r="F70" s="524"/>
      <c r="G70" s="524"/>
      <c r="H70" s="524"/>
      <c r="I70" s="524"/>
      <c r="J70" s="524"/>
      <c r="K70" s="524"/>
      <c r="L70" s="524"/>
      <c r="M70" s="524"/>
      <c r="N70" s="524"/>
      <c r="O70" s="328">
        <f>SUM(N71:N76)</f>
        <v>0</v>
      </c>
      <c r="P70" s="30"/>
    </row>
    <row r="71" spans="1:19" ht="13.5" customHeight="1" x14ac:dyDescent="0.2">
      <c r="A71" s="415"/>
      <c r="B71" s="523" t="s">
        <v>117</v>
      </c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257">
        <v>0</v>
      </c>
      <c r="O71" s="322"/>
      <c r="P71" s="30"/>
    </row>
    <row r="72" spans="1:19" ht="13.5" customHeight="1" x14ac:dyDescent="0.2">
      <c r="A72" s="415"/>
      <c r="B72" s="382" t="s">
        <v>118</v>
      </c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4"/>
      <c r="N72" s="257">
        <v>0</v>
      </c>
      <c r="O72" s="322"/>
      <c r="P72" s="30"/>
    </row>
    <row r="73" spans="1:19" ht="13.5" customHeight="1" x14ac:dyDescent="0.2">
      <c r="A73" s="415"/>
      <c r="B73" s="523" t="s">
        <v>120</v>
      </c>
      <c r="C73" s="524"/>
      <c r="D73" s="524"/>
      <c r="E73" s="524"/>
      <c r="F73" s="524"/>
      <c r="G73" s="524"/>
      <c r="H73" s="524"/>
      <c r="I73" s="524"/>
      <c r="J73" s="524"/>
      <c r="K73" s="524"/>
      <c r="L73" s="524"/>
      <c r="M73" s="524"/>
      <c r="N73" s="257">
        <v>0</v>
      </c>
      <c r="O73" s="322"/>
      <c r="P73" s="30"/>
    </row>
    <row r="74" spans="1:19" ht="13.5" customHeight="1" x14ac:dyDescent="0.2">
      <c r="A74" s="415"/>
      <c r="B74" s="523" t="s">
        <v>121</v>
      </c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257">
        <v>0</v>
      </c>
      <c r="O74" s="322"/>
      <c r="P74" s="30"/>
    </row>
    <row r="75" spans="1:19" ht="13.5" customHeight="1" x14ac:dyDescent="0.2">
      <c r="A75" s="415"/>
      <c r="B75" s="523" t="s">
        <v>122</v>
      </c>
      <c r="C75" s="524"/>
      <c r="D75" s="524"/>
      <c r="E75" s="524"/>
      <c r="F75" s="524"/>
      <c r="G75" s="524"/>
      <c r="H75" s="524"/>
      <c r="I75" s="524"/>
      <c r="J75" s="524"/>
      <c r="K75" s="524"/>
      <c r="L75" s="524"/>
      <c r="M75" s="524"/>
      <c r="N75" s="257">
        <v>0</v>
      </c>
      <c r="O75" s="322"/>
      <c r="P75" s="30"/>
    </row>
    <row r="76" spans="1:19" ht="13.5" customHeight="1" x14ac:dyDescent="0.2">
      <c r="A76" s="415"/>
      <c r="B76" s="523" t="s">
        <v>123</v>
      </c>
      <c r="C76" s="524"/>
      <c r="D76" s="524"/>
      <c r="E76" s="524"/>
      <c r="F76" s="524"/>
      <c r="G76" s="524"/>
      <c r="H76" s="524"/>
      <c r="I76" s="524"/>
      <c r="J76" s="524"/>
      <c r="K76" s="524"/>
      <c r="L76" s="524"/>
      <c r="M76" s="524"/>
      <c r="N76" s="257">
        <v>0</v>
      </c>
      <c r="O76" s="322"/>
      <c r="P76" s="30"/>
    </row>
    <row r="77" spans="1:19" ht="13.5" customHeight="1" x14ac:dyDescent="0.2">
      <c r="A77" s="415"/>
      <c r="B77" s="523" t="s">
        <v>124</v>
      </c>
      <c r="C77" s="524"/>
      <c r="D77" s="524"/>
      <c r="E77" s="524"/>
      <c r="F77" s="524"/>
      <c r="G77" s="524"/>
      <c r="H77" s="524"/>
      <c r="I77" s="524"/>
      <c r="J77" s="524"/>
      <c r="K77" s="524"/>
      <c r="L77" s="524"/>
      <c r="M77" s="524"/>
      <c r="N77" s="524"/>
      <c r="O77" s="258">
        <v>0</v>
      </c>
      <c r="P77" s="30"/>
    </row>
    <row r="78" spans="1:19" ht="13.5" customHeight="1" x14ac:dyDescent="0.2">
      <c r="A78" s="415"/>
      <c r="B78" s="382" t="s">
        <v>125</v>
      </c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4"/>
      <c r="O78" s="258">
        <v>0</v>
      </c>
      <c r="P78" s="30"/>
      <c r="Q78" s="14" t="s">
        <v>127</v>
      </c>
    </row>
    <row r="79" spans="1:19" ht="13.5" customHeight="1" x14ac:dyDescent="0.2">
      <c r="A79" s="415"/>
      <c r="B79" s="523" t="s">
        <v>126</v>
      </c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258">
        <v>0</v>
      </c>
      <c r="P79" s="30"/>
    </row>
    <row r="80" spans="1:19" ht="13.5" customHeight="1" x14ac:dyDescent="0.2">
      <c r="A80" s="415"/>
      <c r="B80" s="523" t="s">
        <v>128</v>
      </c>
      <c r="C80" s="524"/>
      <c r="D80" s="524"/>
      <c r="E80" s="524"/>
      <c r="F80" s="524"/>
      <c r="G80" s="524"/>
      <c r="H80" s="524"/>
      <c r="I80" s="524"/>
      <c r="J80" s="524"/>
      <c r="K80" s="524"/>
      <c r="L80" s="524"/>
      <c r="M80" s="524"/>
      <c r="N80" s="524"/>
      <c r="O80" s="258">
        <v>0</v>
      </c>
      <c r="P80" s="30"/>
    </row>
    <row r="81" spans="1:17" ht="13.5" customHeight="1" thickBot="1" x14ac:dyDescent="0.25">
      <c r="A81" s="416"/>
      <c r="B81" s="564" t="s">
        <v>129</v>
      </c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16">
        <v>0</v>
      </c>
      <c r="P81" s="30"/>
      <c r="Q81" s="224" t="s">
        <v>199</v>
      </c>
    </row>
    <row r="82" spans="1:17" ht="18" customHeight="1" thickBot="1" x14ac:dyDescent="0.25">
      <c r="A82" s="540"/>
      <c r="B82" s="540"/>
      <c r="C82" s="540"/>
      <c r="D82" s="540"/>
      <c r="E82" s="540"/>
      <c r="F82" s="540"/>
      <c r="G82" s="540"/>
      <c r="H82" s="540"/>
      <c r="I82" s="540"/>
      <c r="J82" s="540"/>
      <c r="K82" s="540"/>
      <c r="L82" s="540"/>
      <c r="M82" s="540"/>
      <c r="N82" s="540"/>
      <c r="O82" s="540"/>
      <c r="P82" s="31"/>
      <c r="Q82" s="256" t="s">
        <v>130</v>
      </c>
    </row>
    <row r="83" spans="1:17" ht="13.5" customHeight="1" x14ac:dyDescent="0.2">
      <c r="A83" s="414" t="s">
        <v>131</v>
      </c>
      <c r="B83" s="495" t="s">
        <v>132</v>
      </c>
      <c r="C83" s="495"/>
      <c r="D83" s="495"/>
      <c r="E83" s="495"/>
      <c r="F83" s="495"/>
      <c r="G83" s="495"/>
      <c r="H83" s="495"/>
      <c r="I83" s="495"/>
      <c r="J83" s="495"/>
      <c r="K83" s="495"/>
      <c r="L83" s="495"/>
      <c r="M83" s="495"/>
      <c r="N83" s="121" t="s">
        <v>27</v>
      </c>
      <c r="O83" s="139">
        <f>SUM(O84:O86)</f>
        <v>0</v>
      </c>
      <c r="P83" s="147"/>
    </row>
    <row r="84" spans="1:17" ht="13.5" customHeight="1" x14ac:dyDescent="0.2">
      <c r="A84" s="415"/>
      <c r="B84" s="383" t="s">
        <v>133</v>
      </c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4"/>
      <c r="O84" s="15"/>
      <c r="P84" s="30"/>
    </row>
    <row r="85" spans="1:17" ht="13.5" customHeight="1" x14ac:dyDescent="0.2">
      <c r="A85" s="415"/>
      <c r="B85" s="383" t="s">
        <v>134</v>
      </c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4"/>
      <c r="O85" s="9"/>
      <c r="P85" s="30"/>
    </row>
    <row r="86" spans="1:17" ht="13.5" customHeight="1" thickBot="1" x14ac:dyDescent="0.25">
      <c r="A86" s="415"/>
      <c r="B86" s="501" t="s">
        <v>135</v>
      </c>
      <c r="C86" s="501"/>
      <c r="D86" s="501"/>
      <c r="E86" s="501"/>
      <c r="F86" s="501"/>
      <c r="G86" s="501"/>
      <c r="H86" s="501"/>
      <c r="I86" s="501"/>
      <c r="J86" s="501"/>
      <c r="K86" s="501"/>
      <c r="L86" s="501"/>
      <c r="M86" s="501"/>
      <c r="N86" s="502"/>
      <c r="O86" s="10"/>
      <c r="P86" s="30"/>
    </row>
    <row r="87" spans="1:17" ht="13.5" customHeight="1" x14ac:dyDescent="0.2">
      <c r="A87" s="415"/>
      <c r="B87" s="504" t="s">
        <v>136</v>
      </c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121" t="s">
        <v>27</v>
      </c>
      <c r="O87" s="139">
        <f>SUM(O88:O91)</f>
        <v>0</v>
      </c>
      <c r="P87" s="147"/>
    </row>
    <row r="88" spans="1:17" ht="13.5" customHeight="1" x14ac:dyDescent="0.2">
      <c r="A88" s="415"/>
      <c r="B88" s="506" t="s">
        <v>137</v>
      </c>
      <c r="C88" s="506"/>
      <c r="D88" s="506"/>
      <c r="E88" s="506"/>
      <c r="F88" s="506"/>
      <c r="G88" s="506"/>
      <c r="H88" s="506"/>
      <c r="I88" s="506"/>
      <c r="J88" s="506"/>
      <c r="K88" s="506"/>
      <c r="L88" s="506"/>
      <c r="M88" s="506"/>
      <c r="N88" s="507"/>
      <c r="O88" s="11"/>
      <c r="P88" s="30"/>
    </row>
    <row r="89" spans="1:17" ht="13.5" customHeight="1" x14ac:dyDescent="0.2">
      <c r="A89" s="415"/>
      <c r="B89" s="509" t="s">
        <v>138</v>
      </c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10"/>
      <c r="O89" s="13"/>
      <c r="P89" s="30"/>
      <c r="Q89" s="14" t="s">
        <v>139</v>
      </c>
    </row>
    <row r="90" spans="1:17" ht="13.5" customHeight="1" x14ac:dyDescent="0.2">
      <c r="A90" s="415"/>
      <c r="B90" s="383" t="s">
        <v>140</v>
      </c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4"/>
      <c r="O90" s="13"/>
      <c r="P90" s="30"/>
    </row>
    <row r="91" spans="1:17" ht="13.5" customHeight="1" thickBot="1" x14ac:dyDescent="0.25">
      <c r="A91" s="415"/>
      <c r="B91" s="501" t="s">
        <v>141</v>
      </c>
      <c r="C91" s="501"/>
      <c r="D91" s="501"/>
      <c r="E91" s="501"/>
      <c r="F91" s="501"/>
      <c r="G91" s="501"/>
      <c r="H91" s="501"/>
      <c r="I91" s="501"/>
      <c r="J91" s="501"/>
      <c r="K91" s="501"/>
      <c r="L91" s="501"/>
      <c r="M91" s="501"/>
      <c r="N91" s="502"/>
      <c r="O91" s="16"/>
      <c r="P91" s="30"/>
      <c r="Q91" s="14" t="s">
        <v>142</v>
      </c>
    </row>
    <row r="92" spans="1:17" ht="13.5" customHeight="1" x14ac:dyDescent="0.2">
      <c r="A92" s="415"/>
      <c r="B92" s="563" t="s">
        <v>143</v>
      </c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121" t="s">
        <v>27</v>
      </c>
      <c r="O92" s="148">
        <f>SUM(O93:O97)</f>
        <v>0</v>
      </c>
      <c r="P92" s="147"/>
    </row>
    <row r="93" spans="1:17" ht="13.5" customHeight="1" x14ac:dyDescent="0.2">
      <c r="A93" s="415"/>
      <c r="B93" s="388" t="s">
        <v>144</v>
      </c>
      <c r="C93" s="389"/>
      <c r="D93" s="389"/>
      <c r="E93" s="389"/>
      <c r="F93" s="389"/>
      <c r="G93" s="389"/>
      <c r="H93" s="389"/>
      <c r="I93" s="389"/>
      <c r="J93" s="389"/>
      <c r="K93" s="389"/>
      <c r="L93" s="389"/>
      <c r="M93" s="389"/>
      <c r="N93" s="390"/>
      <c r="O93" s="149"/>
      <c r="P93" s="147"/>
      <c r="Q93" s="14" t="s">
        <v>145</v>
      </c>
    </row>
    <row r="94" spans="1:17" ht="13.5" customHeight="1" x14ac:dyDescent="0.2">
      <c r="A94" s="415"/>
      <c r="B94" s="383" t="s">
        <v>146</v>
      </c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4"/>
      <c r="O94" s="13"/>
      <c r="P94" s="30"/>
    </row>
    <row r="95" spans="1:17" ht="13.5" customHeight="1" x14ac:dyDescent="0.2">
      <c r="A95" s="415"/>
      <c r="B95" s="383" t="s">
        <v>147</v>
      </c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4"/>
      <c r="O95" s="12"/>
      <c r="P95" s="30"/>
    </row>
    <row r="96" spans="1:17" ht="13.5" customHeight="1" x14ac:dyDescent="0.2">
      <c r="A96" s="415"/>
      <c r="B96" s="382" t="s">
        <v>148</v>
      </c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4"/>
      <c r="O96" s="12"/>
      <c r="P96" s="30"/>
    </row>
    <row r="97" spans="1:17" ht="13.5" customHeight="1" thickBot="1" x14ac:dyDescent="0.25">
      <c r="A97" s="415"/>
      <c r="B97" s="382" t="s">
        <v>149</v>
      </c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4"/>
      <c r="O97" s="12"/>
      <c r="P97" s="30"/>
    </row>
    <row r="98" spans="1:17" ht="18" customHeight="1" thickBot="1" x14ac:dyDescent="0.25">
      <c r="A98" s="18"/>
      <c r="B98" s="467"/>
      <c r="C98" s="467"/>
      <c r="D98" s="467"/>
      <c r="E98" s="467"/>
      <c r="F98" s="467"/>
      <c r="G98" s="467"/>
      <c r="H98" s="467"/>
      <c r="I98" s="467"/>
      <c r="J98" s="467"/>
      <c r="K98" s="467"/>
      <c r="L98" s="467"/>
      <c r="M98" s="467"/>
      <c r="N98" s="467"/>
      <c r="O98" s="467"/>
      <c r="P98" s="32"/>
    </row>
    <row r="99" spans="1:17" ht="13.5" customHeight="1" x14ac:dyDescent="0.2">
      <c r="A99" s="414" t="s">
        <v>150</v>
      </c>
      <c r="B99" s="469" t="s">
        <v>151</v>
      </c>
      <c r="C99" s="560"/>
      <c r="D99" s="560"/>
      <c r="E99" s="560"/>
      <c r="F99" s="560"/>
      <c r="G99" s="560"/>
      <c r="H99" s="560"/>
      <c r="I99" s="560"/>
      <c r="J99" s="560"/>
      <c r="K99" s="560"/>
      <c r="L99" s="560"/>
      <c r="M99" s="560"/>
      <c r="N99" s="36" t="s">
        <v>152</v>
      </c>
      <c r="O99" s="236">
        <f>J121</f>
        <v>0</v>
      </c>
      <c r="P99" s="30"/>
    </row>
    <row r="100" spans="1:17" ht="40.5" customHeight="1" x14ac:dyDescent="0.2">
      <c r="A100" s="415"/>
      <c r="B100" s="470" t="s">
        <v>153</v>
      </c>
      <c r="C100" s="21" t="s">
        <v>154</v>
      </c>
      <c r="D100" s="21"/>
      <c r="E100" s="21"/>
      <c r="F100" s="473" t="s">
        <v>155</v>
      </c>
      <c r="G100" s="474"/>
      <c r="H100" s="475" t="s">
        <v>156</v>
      </c>
      <c r="I100" s="475"/>
      <c r="J100" s="61" t="s">
        <v>157</v>
      </c>
      <c r="K100" s="242" t="s">
        <v>158</v>
      </c>
      <c r="L100" s="243" t="s">
        <v>159</v>
      </c>
      <c r="M100" s="244" t="s">
        <v>160</v>
      </c>
      <c r="N100" s="367" t="s">
        <v>161</v>
      </c>
      <c r="O100" s="368"/>
    </row>
    <row r="101" spans="1:17" ht="13.5" customHeight="1" x14ac:dyDescent="0.2">
      <c r="A101" s="415"/>
      <c r="B101" s="471"/>
      <c r="C101" s="372">
        <f>'Per1'!C101:E101</f>
        <v>0</v>
      </c>
      <c r="D101" s="373"/>
      <c r="E101" s="374"/>
      <c r="F101" s="393"/>
      <c r="G101" s="393"/>
      <c r="H101" s="393"/>
      <c r="I101" s="393"/>
      <c r="J101" s="330">
        <f>F101+H101</f>
        <v>0</v>
      </c>
      <c r="K101" s="245">
        <f>IF((J101+'Per1'!J101+'Per2'!J101+'Per3'!J101+'Per4'!J101+'Per5'!J101)&lt;=24999,J101, 25000-'Per1'!K101-'Per2'!K101-'Per3'!K101-'Per4'!K101-'Per5'!K101)</f>
        <v>0</v>
      </c>
      <c r="L101" s="331">
        <f>F101+H101-K101</f>
        <v>0</v>
      </c>
      <c r="M101" s="331">
        <f t="shared" ref="M101:M120" si="7">ROUND(IF(($L$7-VLOOKUP($G$123,$I$124:$K$142,3,FALSE))&lt;0,$K101,ROUND((1-($L$7-VLOOKUP($G$123,$I$124:$K$142,3,FALSE))/($L$7 +1 - $L$5))*$K101,0))*M$147,0) +ROUND(IF(($L$7-VLOOKUP($G$123,$I$124:$K$142,3,FALSE))&lt;0,0,ROUND(($L$7-VLOOKUP($G$123,$I$124:$K$142,3,FALSE))/($L$7 +1 - $L$5)*$K101,0))*M$148,0)</f>
        <v>0</v>
      </c>
      <c r="N101" s="365">
        <f>K101+L101+M101</f>
        <v>0</v>
      </c>
      <c r="O101" s="366"/>
    </row>
    <row r="102" spans="1:17" ht="13.5" customHeight="1" x14ac:dyDescent="0.2">
      <c r="A102" s="415"/>
      <c r="B102" s="471"/>
      <c r="C102" s="372">
        <f>'Per1'!C102:E102</f>
        <v>0</v>
      </c>
      <c r="D102" s="373"/>
      <c r="E102" s="374"/>
      <c r="F102" s="393"/>
      <c r="G102" s="393"/>
      <c r="H102" s="393"/>
      <c r="I102" s="393"/>
      <c r="J102" s="330">
        <f t="shared" ref="J102:J120" si="8">F102+H102</f>
        <v>0</v>
      </c>
      <c r="K102" s="245">
        <f>IF((J102+'Per1'!J102+'Per2'!J102+'Per3'!J102+'Per4'!J102+'Per5'!J102)&lt;=24999,J102, 25000-'Per1'!K102-'Per2'!K102-'Per3'!K102-'Per4'!K102-'Per5'!K102)</f>
        <v>0</v>
      </c>
      <c r="L102" s="331">
        <f>F102+H102-K102</f>
        <v>0</v>
      </c>
      <c r="M102" s="331">
        <f t="shared" si="7"/>
        <v>0</v>
      </c>
      <c r="N102" s="365">
        <f t="shared" ref="N102:N120" si="9">K102+L102+M102</f>
        <v>0</v>
      </c>
      <c r="O102" s="366"/>
    </row>
    <row r="103" spans="1:17" ht="13.5" customHeight="1" x14ac:dyDescent="0.2">
      <c r="A103" s="415"/>
      <c r="B103" s="471"/>
      <c r="C103" s="372">
        <f>'Per1'!C103:E103</f>
        <v>0</v>
      </c>
      <c r="D103" s="373"/>
      <c r="E103" s="374"/>
      <c r="F103" s="393"/>
      <c r="G103" s="393"/>
      <c r="H103" s="393"/>
      <c r="I103" s="393"/>
      <c r="J103" s="330">
        <f t="shared" si="8"/>
        <v>0</v>
      </c>
      <c r="K103" s="245">
        <f>IF((J103+'Per1'!J103+'Per2'!J103+'Per3'!J103+'Per4'!J103+'Per5'!J103)&lt;=24999,J103, 25000-'Per1'!K103-'Per2'!K103-'Per3'!K103-'Per4'!K103-'Per5'!K103)</f>
        <v>0</v>
      </c>
      <c r="L103" s="331">
        <f>F103+H103-K103</f>
        <v>0</v>
      </c>
      <c r="M103" s="331">
        <f t="shared" si="7"/>
        <v>0</v>
      </c>
      <c r="N103" s="365">
        <f t="shared" si="9"/>
        <v>0</v>
      </c>
      <c r="O103" s="366"/>
    </row>
    <row r="104" spans="1:17" ht="13.5" customHeight="1" x14ac:dyDescent="0.2">
      <c r="A104" s="415"/>
      <c r="B104" s="471"/>
      <c r="C104" s="372">
        <f>'Per1'!C104:E104</f>
        <v>0</v>
      </c>
      <c r="D104" s="373"/>
      <c r="E104" s="374"/>
      <c r="F104" s="393"/>
      <c r="G104" s="393"/>
      <c r="H104" s="393"/>
      <c r="I104" s="393"/>
      <c r="J104" s="330">
        <f t="shared" si="8"/>
        <v>0</v>
      </c>
      <c r="K104" s="245">
        <f>IF((J104+'Per1'!J104+'Per2'!J104+'Per3'!J104+'Per4'!J104+'Per5'!J104)&lt;=24999,J104, 25000-'Per1'!K104-'Per2'!K104-'Per3'!K104-'Per4'!K104-'Per5'!K104)</f>
        <v>0</v>
      </c>
      <c r="L104" s="331">
        <f>F104+H104-K104</f>
        <v>0</v>
      </c>
      <c r="M104" s="331">
        <f t="shared" si="7"/>
        <v>0</v>
      </c>
      <c r="N104" s="365">
        <f t="shared" si="9"/>
        <v>0</v>
      </c>
      <c r="O104" s="366"/>
    </row>
    <row r="105" spans="1:17" ht="13.5" customHeight="1" x14ac:dyDescent="0.2">
      <c r="A105" s="415"/>
      <c r="B105" s="471"/>
      <c r="C105" s="372">
        <f>'Per1'!C105:E105</f>
        <v>0</v>
      </c>
      <c r="D105" s="373"/>
      <c r="E105" s="374"/>
      <c r="F105" s="375"/>
      <c r="G105" s="375"/>
      <c r="H105" s="375"/>
      <c r="I105" s="375"/>
      <c r="J105" s="332">
        <f t="shared" si="8"/>
        <v>0</v>
      </c>
      <c r="K105" s="245">
        <f>IF((J105+'Per1'!J105+'Per2'!J105+'Per3'!J105+'Per4'!J105+'Per5'!J105)&lt;=24999,J105, 25000-'Per1'!K105-'Per2'!K105-'Per3'!K105-'Per4'!K105-'Per5'!K105)</f>
        <v>0</v>
      </c>
      <c r="L105" s="333">
        <f>F105+H105-K105</f>
        <v>0</v>
      </c>
      <c r="M105" s="331">
        <f t="shared" si="7"/>
        <v>0</v>
      </c>
      <c r="N105" s="561">
        <f t="shared" si="9"/>
        <v>0</v>
      </c>
      <c r="O105" s="562"/>
      <c r="Q105" s="224" t="s">
        <v>162</v>
      </c>
    </row>
    <row r="106" spans="1:17" ht="13.5" customHeight="1" thickBot="1" x14ac:dyDescent="0.25">
      <c r="A106" s="415"/>
      <c r="B106" s="471"/>
      <c r="C106" s="372">
        <f>'Per1'!C106:E106</f>
        <v>0</v>
      </c>
      <c r="D106" s="373"/>
      <c r="E106" s="374"/>
      <c r="F106" s="375"/>
      <c r="G106" s="375"/>
      <c r="H106" s="375"/>
      <c r="I106" s="375"/>
      <c r="J106" s="332">
        <f t="shared" si="8"/>
        <v>0</v>
      </c>
      <c r="K106" s="245">
        <f>IF((J106+'Per1'!J106+'Per2'!J106+'Per3'!J106+'Per4'!J106+'Per5'!J106)&lt;=24999,J106, 25000-'Per1'!K106-'Per2'!K106-'Per3'!K106-'Per4'!K106-'Per5'!K106)</f>
        <v>0</v>
      </c>
      <c r="L106" s="333">
        <f t="shared" ref="L106:L120" si="10">F106+H106-K106</f>
        <v>0</v>
      </c>
      <c r="M106" s="331">
        <f t="shared" si="7"/>
        <v>0</v>
      </c>
      <c r="N106" s="365">
        <f t="shared" si="9"/>
        <v>0</v>
      </c>
      <c r="O106" s="366"/>
    </row>
    <row r="107" spans="1:17" ht="13.5" hidden="1" customHeight="1" x14ac:dyDescent="0.2">
      <c r="A107" s="415"/>
      <c r="B107" s="471"/>
      <c r="C107" s="372">
        <f>'Per1'!C107:E107</f>
        <v>0</v>
      </c>
      <c r="D107" s="373"/>
      <c r="E107" s="374"/>
      <c r="F107" s="375"/>
      <c r="G107" s="375"/>
      <c r="H107" s="375"/>
      <c r="I107" s="375"/>
      <c r="J107" s="332">
        <f t="shared" si="8"/>
        <v>0</v>
      </c>
      <c r="K107" s="245">
        <f>IF((J107+'Per1'!J107+'Per2'!J107+'Per3'!J107+'Per4'!J107+'Per5'!J107)&lt;=24999,J107, 25000-'Per1'!K107-'Per2'!K107-'Per3'!K107-'Per4'!K107-'Per5'!K107)</f>
        <v>0</v>
      </c>
      <c r="L107" s="333">
        <f t="shared" si="10"/>
        <v>0</v>
      </c>
      <c r="M107" s="331">
        <f t="shared" si="7"/>
        <v>0</v>
      </c>
      <c r="N107" s="365">
        <f t="shared" si="9"/>
        <v>0</v>
      </c>
      <c r="O107" s="366"/>
    </row>
    <row r="108" spans="1:17" ht="13.5" hidden="1" customHeight="1" x14ac:dyDescent="0.2">
      <c r="A108" s="415"/>
      <c r="B108" s="471"/>
      <c r="C108" s="372">
        <f>'Per1'!C108:E108</f>
        <v>0</v>
      </c>
      <c r="D108" s="373"/>
      <c r="E108" s="374"/>
      <c r="F108" s="375"/>
      <c r="G108" s="375"/>
      <c r="H108" s="375"/>
      <c r="I108" s="375"/>
      <c r="J108" s="332">
        <f t="shared" si="8"/>
        <v>0</v>
      </c>
      <c r="K108" s="245">
        <f>IF((J108+'Per1'!J108+'Per2'!J108+'Per3'!J108+'Per4'!J108+'Per5'!J108)&lt;=24999,J108, 25000-'Per1'!K108-'Per2'!K108-'Per3'!K108-'Per4'!K108-'Per5'!K108)</f>
        <v>0</v>
      </c>
      <c r="L108" s="333">
        <f t="shared" si="10"/>
        <v>0</v>
      </c>
      <c r="M108" s="331">
        <f t="shared" si="7"/>
        <v>0</v>
      </c>
      <c r="N108" s="365">
        <f t="shared" si="9"/>
        <v>0</v>
      </c>
      <c r="O108" s="366"/>
    </row>
    <row r="109" spans="1:17" ht="13.5" hidden="1" customHeight="1" x14ac:dyDescent="0.2">
      <c r="A109" s="415"/>
      <c r="B109" s="471"/>
      <c r="C109" s="372">
        <f>'Per1'!C109:E109</f>
        <v>0</v>
      </c>
      <c r="D109" s="373"/>
      <c r="E109" s="374"/>
      <c r="F109" s="375"/>
      <c r="G109" s="375"/>
      <c r="H109" s="375"/>
      <c r="I109" s="375"/>
      <c r="J109" s="332">
        <f t="shared" si="8"/>
        <v>0</v>
      </c>
      <c r="K109" s="245">
        <f>IF((J109+'Per1'!J109+'Per2'!J109+'Per3'!J109+'Per4'!J109+'Per5'!J109)&lt;=24999,J109, 25000-'Per1'!K109-'Per2'!K109-'Per3'!K109-'Per4'!K109-'Per5'!K109)</f>
        <v>0</v>
      </c>
      <c r="L109" s="333">
        <f t="shared" si="10"/>
        <v>0</v>
      </c>
      <c r="M109" s="331">
        <f t="shared" si="7"/>
        <v>0</v>
      </c>
      <c r="N109" s="365">
        <f t="shared" si="9"/>
        <v>0</v>
      </c>
      <c r="O109" s="366"/>
    </row>
    <row r="110" spans="1:17" ht="13.5" hidden="1" customHeight="1" x14ac:dyDescent="0.2">
      <c r="A110" s="415"/>
      <c r="B110" s="471"/>
      <c r="C110" s="372">
        <f>'Per1'!C110:E110</f>
        <v>0</v>
      </c>
      <c r="D110" s="373"/>
      <c r="E110" s="374"/>
      <c r="F110" s="375"/>
      <c r="G110" s="375"/>
      <c r="H110" s="375"/>
      <c r="I110" s="375"/>
      <c r="J110" s="332">
        <f t="shared" si="8"/>
        <v>0</v>
      </c>
      <c r="K110" s="245">
        <f>IF((J110+'Per1'!J110+'Per2'!J110+'Per3'!J110+'Per4'!J110+'Per5'!J110)&lt;=24999,J110, 25000-'Per1'!K110-'Per2'!K110-'Per3'!K110-'Per4'!K110-'Per5'!K110)</f>
        <v>0</v>
      </c>
      <c r="L110" s="333">
        <f t="shared" si="10"/>
        <v>0</v>
      </c>
      <c r="M110" s="331">
        <f t="shared" si="7"/>
        <v>0</v>
      </c>
      <c r="N110" s="365">
        <f t="shared" si="9"/>
        <v>0</v>
      </c>
      <c r="O110" s="366"/>
    </row>
    <row r="111" spans="1:17" ht="13.5" hidden="1" customHeight="1" x14ac:dyDescent="0.2">
      <c r="A111" s="415"/>
      <c r="B111" s="471"/>
      <c r="C111" s="372">
        <f>'Per1'!C111:E111</f>
        <v>0</v>
      </c>
      <c r="D111" s="373"/>
      <c r="E111" s="374"/>
      <c r="F111" s="375"/>
      <c r="G111" s="375"/>
      <c r="H111" s="375"/>
      <c r="I111" s="375"/>
      <c r="J111" s="332">
        <f t="shared" si="8"/>
        <v>0</v>
      </c>
      <c r="K111" s="245">
        <f>IF((J111+'Per1'!J111+'Per2'!J111+'Per3'!J111+'Per4'!J111+'Per5'!J111)&lt;=24999,J111, 25000-'Per1'!K111-'Per2'!K111-'Per3'!K111-'Per4'!K111-'Per5'!K111)</f>
        <v>0</v>
      </c>
      <c r="L111" s="333">
        <f t="shared" si="10"/>
        <v>0</v>
      </c>
      <c r="M111" s="331">
        <f t="shared" si="7"/>
        <v>0</v>
      </c>
      <c r="N111" s="365">
        <f t="shared" si="9"/>
        <v>0</v>
      </c>
      <c r="O111" s="366"/>
    </row>
    <row r="112" spans="1:17" ht="13.5" hidden="1" customHeight="1" x14ac:dyDescent="0.2">
      <c r="A112" s="415"/>
      <c r="B112" s="471"/>
      <c r="C112" s="372">
        <f>'Per1'!C112:E112</f>
        <v>0</v>
      </c>
      <c r="D112" s="373"/>
      <c r="E112" s="374"/>
      <c r="F112" s="375"/>
      <c r="G112" s="375"/>
      <c r="H112" s="375"/>
      <c r="I112" s="375"/>
      <c r="J112" s="332">
        <f t="shared" si="8"/>
        <v>0</v>
      </c>
      <c r="K112" s="245">
        <f>IF((J112+'Per1'!J112+'Per2'!J112+'Per3'!J112+'Per4'!J112+'Per5'!J112)&lt;=24999,J112, 25000-'Per1'!K112-'Per2'!K112-'Per3'!K112-'Per4'!K112-'Per5'!K112)</f>
        <v>0</v>
      </c>
      <c r="L112" s="333">
        <f t="shared" si="10"/>
        <v>0</v>
      </c>
      <c r="M112" s="331">
        <f t="shared" si="7"/>
        <v>0</v>
      </c>
      <c r="N112" s="365">
        <f t="shared" si="9"/>
        <v>0</v>
      </c>
      <c r="O112" s="366"/>
    </row>
    <row r="113" spans="1:16" ht="13.5" hidden="1" customHeight="1" x14ac:dyDescent="0.2">
      <c r="A113" s="415"/>
      <c r="B113" s="471"/>
      <c r="C113" s="372">
        <f>'Per1'!C113:E113</f>
        <v>0</v>
      </c>
      <c r="D113" s="373"/>
      <c r="E113" s="374"/>
      <c r="F113" s="375"/>
      <c r="G113" s="375"/>
      <c r="H113" s="375"/>
      <c r="I113" s="375"/>
      <c r="J113" s="332">
        <f t="shared" si="8"/>
        <v>0</v>
      </c>
      <c r="K113" s="245">
        <f>IF((J113+'Per1'!J113+'Per2'!J113+'Per3'!J113+'Per4'!J113+'Per5'!J113)&lt;=24999,J113, 25000-'Per1'!K113-'Per2'!K113-'Per3'!K113-'Per4'!K113-'Per5'!K113)</f>
        <v>0</v>
      </c>
      <c r="L113" s="333">
        <f t="shared" si="10"/>
        <v>0</v>
      </c>
      <c r="M113" s="331">
        <f t="shared" si="7"/>
        <v>0</v>
      </c>
      <c r="N113" s="365">
        <f t="shared" si="9"/>
        <v>0</v>
      </c>
      <c r="O113" s="366"/>
    </row>
    <row r="114" spans="1:16" ht="13.5" hidden="1" customHeight="1" x14ac:dyDescent="0.2">
      <c r="A114" s="415"/>
      <c r="B114" s="471"/>
      <c r="C114" s="372">
        <f>'Per1'!C114:E114</f>
        <v>0</v>
      </c>
      <c r="D114" s="373"/>
      <c r="E114" s="374"/>
      <c r="F114" s="375"/>
      <c r="G114" s="375"/>
      <c r="H114" s="375"/>
      <c r="I114" s="375"/>
      <c r="J114" s="332">
        <f t="shared" si="8"/>
        <v>0</v>
      </c>
      <c r="K114" s="245">
        <f>IF((J114+'Per1'!J114+'Per2'!J114+'Per3'!J114+'Per4'!J114+'Per5'!J114)&lt;=24999,J114, 25000-'Per1'!K114-'Per2'!K114-'Per3'!K114-'Per4'!K114-'Per5'!K114)</f>
        <v>0</v>
      </c>
      <c r="L114" s="333">
        <f t="shared" si="10"/>
        <v>0</v>
      </c>
      <c r="M114" s="331">
        <f t="shared" si="7"/>
        <v>0</v>
      </c>
      <c r="N114" s="365">
        <f t="shared" si="9"/>
        <v>0</v>
      </c>
      <c r="O114" s="366"/>
    </row>
    <row r="115" spans="1:16" ht="13.5" hidden="1" customHeight="1" x14ac:dyDescent="0.2">
      <c r="A115" s="415"/>
      <c r="B115" s="471"/>
      <c r="C115" s="372">
        <f>'Per1'!C115:E115</f>
        <v>0</v>
      </c>
      <c r="D115" s="373"/>
      <c r="E115" s="374"/>
      <c r="F115" s="375"/>
      <c r="G115" s="375"/>
      <c r="H115" s="375"/>
      <c r="I115" s="375"/>
      <c r="J115" s="332">
        <f t="shared" si="8"/>
        <v>0</v>
      </c>
      <c r="K115" s="245">
        <f>IF((J115+'Per1'!J115+'Per2'!J115+'Per3'!J115+'Per4'!J115+'Per5'!J115)&lt;=24999,J115, 25000-'Per1'!K115-'Per2'!K115-'Per3'!K115-'Per4'!K115-'Per5'!K115)</f>
        <v>0</v>
      </c>
      <c r="L115" s="333">
        <f t="shared" si="10"/>
        <v>0</v>
      </c>
      <c r="M115" s="331">
        <f t="shared" si="7"/>
        <v>0</v>
      </c>
      <c r="N115" s="365">
        <f t="shared" si="9"/>
        <v>0</v>
      </c>
      <c r="O115" s="366"/>
    </row>
    <row r="116" spans="1:16" ht="13.5" hidden="1" customHeight="1" x14ac:dyDescent="0.2">
      <c r="A116" s="415"/>
      <c r="B116" s="471"/>
      <c r="C116" s="372">
        <f>'Per1'!C116:E116</f>
        <v>0</v>
      </c>
      <c r="D116" s="373"/>
      <c r="E116" s="374"/>
      <c r="F116" s="375"/>
      <c r="G116" s="375"/>
      <c r="H116" s="375"/>
      <c r="I116" s="375"/>
      <c r="J116" s="332">
        <f t="shared" si="8"/>
        <v>0</v>
      </c>
      <c r="K116" s="245">
        <f>IF((J116+'Per1'!J116+'Per2'!J116+'Per3'!J116+'Per4'!J116+'Per5'!J116)&lt;=24999,J116, 25000-'Per1'!K116-'Per2'!K116-'Per3'!K116-'Per4'!K116-'Per5'!K116)</f>
        <v>0</v>
      </c>
      <c r="L116" s="333">
        <f t="shared" si="10"/>
        <v>0</v>
      </c>
      <c r="M116" s="331">
        <f t="shared" si="7"/>
        <v>0</v>
      </c>
      <c r="N116" s="365">
        <f t="shared" si="9"/>
        <v>0</v>
      </c>
      <c r="O116" s="366"/>
    </row>
    <row r="117" spans="1:16" ht="13.5" hidden="1" customHeight="1" x14ac:dyDescent="0.2">
      <c r="A117" s="415"/>
      <c r="B117" s="471"/>
      <c r="C117" s="372">
        <f>'Per1'!C117:E117</f>
        <v>0</v>
      </c>
      <c r="D117" s="373"/>
      <c r="E117" s="374"/>
      <c r="F117" s="375"/>
      <c r="G117" s="375"/>
      <c r="H117" s="375"/>
      <c r="I117" s="375"/>
      <c r="J117" s="332">
        <f t="shared" si="8"/>
        <v>0</v>
      </c>
      <c r="K117" s="245">
        <f>IF((J117+'Per1'!J117+'Per2'!J117+'Per3'!J117+'Per4'!J117+'Per5'!J117)&lt;=24999,J117, 25000-'Per1'!K117-'Per2'!K117-'Per3'!K117-'Per4'!K117-'Per5'!K117)</f>
        <v>0</v>
      </c>
      <c r="L117" s="333">
        <f t="shared" si="10"/>
        <v>0</v>
      </c>
      <c r="M117" s="331">
        <f t="shared" si="7"/>
        <v>0</v>
      </c>
      <c r="N117" s="365">
        <f t="shared" si="9"/>
        <v>0</v>
      </c>
      <c r="O117" s="366"/>
    </row>
    <row r="118" spans="1:16" ht="13.5" hidden="1" customHeight="1" x14ac:dyDescent="0.2">
      <c r="A118" s="415"/>
      <c r="B118" s="471"/>
      <c r="C118" s="372">
        <f>'Per1'!C118:E118</f>
        <v>0</v>
      </c>
      <c r="D118" s="373"/>
      <c r="E118" s="374"/>
      <c r="F118" s="375"/>
      <c r="G118" s="375"/>
      <c r="H118" s="375"/>
      <c r="I118" s="375"/>
      <c r="J118" s="332">
        <f t="shared" si="8"/>
        <v>0</v>
      </c>
      <c r="K118" s="245">
        <f>IF((J118+'Per1'!J118+'Per2'!J118+'Per3'!J118+'Per4'!J118+'Per5'!J118)&lt;=24999,J118, 25000-'Per1'!K118-'Per2'!K118-'Per3'!K118-'Per4'!K118-'Per5'!K118)</f>
        <v>0</v>
      </c>
      <c r="L118" s="333">
        <f t="shared" si="10"/>
        <v>0</v>
      </c>
      <c r="M118" s="331">
        <f t="shared" si="7"/>
        <v>0</v>
      </c>
      <c r="N118" s="365">
        <f t="shared" si="9"/>
        <v>0</v>
      </c>
      <c r="O118" s="366"/>
    </row>
    <row r="119" spans="1:16" ht="13.5" hidden="1" customHeight="1" x14ac:dyDescent="0.2">
      <c r="A119" s="415"/>
      <c r="B119" s="471"/>
      <c r="C119" s="372">
        <f>'Per1'!C119:E119</f>
        <v>0</v>
      </c>
      <c r="D119" s="373"/>
      <c r="E119" s="374"/>
      <c r="F119" s="375"/>
      <c r="G119" s="375"/>
      <c r="H119" s="375"/>
      <c r="I119" s="375"/>
      <c r="J119" s="332">
        <f t="shared" si="8"/>
        <v>0</v>
      </c>
      <c r="K119" s="245">
        <f>IF((J119+'Per1'!J119+'Per2'!J119+'Per3'!J119+'Per4'!J119+'Per5'!J119)&lt;=24999,J119, 25000-'Per1'!K119-'Per2'!K119-'Per3'!K119-'Per4'!K119-'Per5'!K119)</f>
        <v>0</v>
      </c>
      <c r="L119" s="333">
        <f t="shared" si="10"/>
        <v>0</v>
      </c>
      <c r="M119" s="331">
        <f t="shared" si="7"/>
        <v>0</v>
      </c>
      <c r="N119" s="365">
        <f t="shared" si="9"/>
        <v>0</v>
      </c>
      <c r="O119" s="366"/>
    </row>
    <row r="120" spans="1:16" ht="13.5" hidden="1" customHeight="1" thickBot="1" x14ac:dyDescent="0.25">
      <c r="A120" s="415"/>
      <c r="B120" s="471"/>
      <c r="C120" s="372">
        <f>'Per1'!C120:E120</f>
        <v>0</v>
      </c>
      <c r="D120" s="373"/>
      <c r="E120" s="374"/>
      <c r="F120" s="375"/>
      <c r="G120" s="375"/>
      <c r="H120" s="375"/>
      <c r="I120" s="375"/>
      <c r="J120" s="332">
        <f t="shared" si="8"/>
        <v>0</v>
      </c>
      <c r="K120" s="245">
        <f>IF((J120+'Per1'!J120+'Per2'!J120+'Per3'!J120+'Per4'!J120+'Per5'!J120)&lt;=24999,J120, 25000-'Per1'!K120-'Per2'!K120-'Per3'!K120-'Per4'!K120-'Per5'!K120)</f>
        <v>0</v>
      </c>
      <c r="L120" s="333">
        <f t="shared" si="10"/>
        <v>0</v>
      </c>
      <c r="M120" s="331">
        <f t="shared" si="7"/>
        <v>0</v>
      </c>
      <c r="N120" s="479">
        <f t="shared" si="9"/>
        <v>0</v>
      </c>
      <c r="O120" s="480"/>
    </row>
    <row r="121" spans="1:16" ht="13.5" customHeight="1" thickBot="1" x14ac:dyDescent="0.25">
      <c r="A121" s="416"/>
      <c r="B121" s="472"/>
      <c r="C121" s="436" t="s">
        <v>163</v>
      </c>
      <c r="D121" s="436"/>
      <c r="E121" s="437"/>
      <c r="F121" s="379">
        <f>SUM(F101:G120)</f>
        <v>0</v>
      </c>
      <c r="G121" s="379"/>
      <c r="H121" s="379">
        <f>SUM(H101:I120)</f>
        <v>0</v>
      </c>
      <c r="I121" s="379"/>
      <c r="J121" s="334">
        <f>SUM(J101:J120)</f>
        <v>0</v>
      </c>
      <c r="K121" s="247">
        <f>SUM(K101:K120)</f>
        <v>0</v>
      </c>
      <c r="L121" s="335">
        <f>SUM(L101:L120)</f>
        <v>0</v>
      </c>
      <c r="M121" s="336">
        <f>SUM(M101:M120)</f>
        <v>0</v>
      </c>
      <c r="N121" s="248"/>
      <c r="O121" s="249"/>
    </row>
    <row r="122" spans="1:16" ht="18" hidden="1" customHeight="1" thickBot="1" x14ac:dyDescent="0.25">
      <c r="A122" s="574"/>
      <c r="B122" s="574"/>
      <c r="C122" s="574"/>
      <c r="D122" s="574"/>
      <c r="E122" s="574"/>
      <c r="F122" s="574"/>
      <c r="G122" s="574"/>
      <c r="H122" s="574"/>
      <c r="I122" s="574"/>
      <c r="J122" s="574"/>
      <c r="K122" s="574"/>
      <c r="L122" s="574"/>
      <c r="M122" s="574"/>
      <c r="N122" s="540"/>
      <c r="O122" s="540"/>
      <c r="P122" s="31"/>
    </row>
    <row r="123" spans="1:16" ht="18" hidden="1" customHeight="1" x14ac:dyDescent="0.2">
      <c r="A123" s="124"/>
      <c r="B123" s="124"/>
      <c r="C123" s="218"/>
      <c r="D123" s="218"/>
      <c r="E123" s="218"/>
      <c r="F123" s="219" t="s">
        <v>164</v>
      </c>
      <c r="G123" s="218">
        <f>IF(MONTH(L5)&lt;9,YEAR(L5),YEAR(L5)+1)</f>
        <v>2030</v>
      </c>
      <c r="H123" s="218"/>
      <c r="I123" s="219" t="s">
        <v>165</v>
      </c>
      <c r="J123" s="219" t="s">
        <v>166</v>
      </c>
      <c r="K123" s="219" t="s">
        <v>167</v>
      </c>
      <c r="L123" s="124"/>
      <c r="M123" s="124"/>
      <c r="N123" s="124"/>
      <c r="O123" s="124"/>
      <c r="P123" s="31"/>
    </row>
    <row r="124" spans="1:16" ht="18" hidden="1" customHeight="1" x14ac:dyDescent="0.2">
      <c r="A124" s="124"/>
      <c r="B124" s="124"/>
      <c r="C124" s="218"/>
      <c r="D124" s="218"/>
      <c r="E124" s="218"/>
      <c r="F124" s="218"/>
      <c r="G124" s="218"/>
      <c r="H124" s="218"/>
      <c r="I124" s="218">
        <v>2018</v>
      </c>
      <c r="J124" s="218">
        <v>0.47</v>
      </c>
      <c r="K124" s="220">
        <f>DATE(I124,8,31)</f>
        <v>43343</v>
      </c>
      <c r="L124" s="124"/>
      <c r="M124" s="124"/>
      <c r="N124" s="124"/>
      <c r="O124" s="124"/>
      <c r="P124" s="31"/>
    </row>
    <row r="125" spans="1:16" ht="18" hidden="1" customHeight="1" x14ac:dyDescent="0.2">
      <c r="A125" s="124"/>
      <c r="B125" s="124"/>
      <c r="C125" s="218"/>
      <c r="D125" s="218"/>
      <c r="E125" s="218"/>
      <c r="F125" s="218"/>
      <c r="G125" s="218"/>
      <c r="H125" s="218"/>
      <c r="I125" s="218">
        <v>2019</v>
      </c>
      <c r="J125" s="218">
        <v>0.49</v>
      </c>
      <c r="K125" s="220">
        <f t="shared" ref="K125:K142" si="11">DATE(I125,8,31)</f>
        <v>43708</v>
      </c>
      <c r="L125" s="124"/>
      <c r="M125" s="124"/>
      <c r="N125" s="124"/>
      <c r="O125" s="124"/>
      <c r="P125" s="31"/>
    </row>
    <row r="126" spans="1:16" ht="18" hidden="1" customHeight="1" x14ac:dyDescent="0.2">
      <c r="A126" s="124"/>
      <c r="B126" s="124"/>
      <c r="C126" s="218"/>
      <c r="D126" s="218"/>
      <c r="E126" s="218"/>
      <c r="F126" s="218"/>
      <c r="G126" s="218"/>
      <c r="H126" s="218"/>
      <c r="I126" s="218">
        <v>2020</v>
      </c>
      <c r="J126" s="218">
        <v>0.495</v>
      </c>
      <c r="K126" s="220">
        <f t="shared" si="11"/>
        <v>44074</v>
      </c>
      <c r="L126" s="124"/>
      <c r="M126" s="124"/>
      <c r="N126" s="124"/>
      <c r="O126" s="124"/>
      <c r="P126" s="31"/>
    </row>
    <row r="127" spans="1:16" ht="18" hidden="1" customHeight="1" x14ac:dyDescent="0.2">
      <c r="A127" s="124"/>
      <c r="B127" s="124"/>
      <c r="C127" s="218"/>
      <c r="D127" s="218"/>
      <c r="E127" s="218"/>
      <c r="F127" s="218"/>
      <c r="G127" s="218"/>
      <c r="H127" s="218"/>
      <c r="I127" s="218">
        <v>2021</v>
      </c>
      <c r="J127" s="218">
        <v>0.5</v>
      </c>
      <c r="K127" s="220">
        <f t="shared" si="11"/>
        <v>44439</v>
      </c>
      <c r="L127" s="124"/>
      <c r="M127" s="124"/>
      <c r="N127" s="124"/>
      <c r="O127" s="124"/>
      <c r="P127" s="31"/>
    </row>
    <row r="128" spans="1:16" ht="18" hidden="1" customHeight="1" x14ac:dyDescent="0.2">
      <c r="A128" s="124"/>
      <c r="B128" s="124"/>
      <c r="C128" s="218"/>
      <c r="D128" s="218"/>
      <c r="E128" s="218"/>
      <c r="F128" s="218"/>
      <c r="G128" s="218"/>
      <c r="H128" s="218"/>
      <c r="I128" s="218">
        <v>2022</v>
      </c>
      <c r="J128" s="218">
        <v>0.5</v>
      </c>
      <c r="K128" s="220">
        <f t="shared" si="11"/>
        <v>44804</v>
      </c>
      <c r="L128" s="124"/>
      <c r="M128" s="124"/>
      <c r="N128" s="124"/>
      <c r="O128" s="124"/>
      <c r="P128" s="31"/>
    </row>
    <row r="129" spans="1:17" ht="18" hidden="1" customHeight="1" x14ac:dyDescent="0.2">
      <c r="A129" s="124"/>
      <c r="B129" s="124"/>
      <c r="C129" s="218"/>
      <c r="D129" s="218"/>
      <c r="E129" s="218"/>
      <c r="F129" s="218"/>
      <c r="G129" s="218"/>
      <c r="H129" s="218"/>
      <c r="I129" s="218">
        <v>2023</v>
      </c>
      <c r="J129" s="218">
        <v>0.5</v>
      </c>
      <c r="K129" s="220">
        <f t="shared" si="11"/>
        <v>45169</v>
      </c>
      <c r="L129" s="124"/>
      <c r="M129" s="124"/>
      <c r="N129" s="124"/>
      <c r="O129" s="124"/>
      <c r="P129" s="31"/>
    </row>
    <row r="130" spans="1:17" ht="18" hidden="1" customHeight="1" x14ac:dyDescent="0.2">
      <c r="A130" s="124"/>
      <c r="B130" s="124"/>
      <c r="C130" s="218"/>
      <c r="D130" s="218"/>
      <c r="E130" s="218"/>
      <c r="F130" s="218"/>
      <c r="G130" s="218"/>
      <c r="H130" s="218"/>
      <c r="I130" s="218">
        <v>2024</v>
      </c>
      <c r="J130" s="218">
        <v>0.5</v>
      </c>
      <c r="K130" s="220">
        <f t="shared" si="11"/>
        <v>45535</v>
      </c>
      <c r="L130" s="124"/>
      <c r="M130" s="124"/>
      <c r="N130" s="124"/>
      <c r="O130" s="124"/>
      <c r="P130" s="31"/>
    </row>
    <row r="131" spans="1:17" ht="18" hidden="1" customHeight="1" x14ac:dyDescent="0.2">
      <c r="A131" s="124"/>
      <c r="B131" s="124"/>
      <c r="C131" s="218"/>
      <c r="D131" s="218"/>
      <c r="E131" s="218"/>
      <c r="F131" s="218"/>
      <c r="G131" s="218"/>
      <c r="H131" s="218"/>
      <c r="I131" s="218">
        <v>2025</v>
      </c>
      <c r="J131" s="218">
        <v>0.5</v>
      </c>
      <c r="K131" s="220">
        <f t="shared" si="11"/>
        <v>45900</v>
      </c>
      <c r="L131" s="124"/>
      <c r="M131" s="124"/>
      <c r="N131" s="124"/>
      <c r="O131" s="124"/>
      <c r="P131" s="31"/>
    </row>
    <row r="132" spans="1:17" ht="18" hidden="1" customHeight="1" x14ac:dyDescent="0.2">
      <c r="A132" s="124"/>
      <c r="B132" s="124"/>
      <c r="C132" s="218"/>
      <c r="D132" s="218"/>
      <c r="E132" s="218"/>
      <c r="F132" s="218"/>
      <c r="G132" s="218"/>
      <c r="H132" s="218"/>
      <c r="I132" s="218">
        <v>2026</v>
      </c>
      <c r="J132" s="218">
        <v>0.5</v>
      </c>
      <c r="K132" s="220">
        <f t="shared" si="11"/>
        <v>46265</v>
      </c>
      <c r="L132" s="124"/>
      <c r="M132" s="124"/>
      <c r="N132" s="124"/>
      <c r="O132" s="124"/>
      <c r="P132" s="31"/>
    </row>
    <row r="133" spans="1:17" ht="18" hidden="1" customHeight="1" x14ac:dyDescent="0.2">
      <c r="A133" s="124"/>
      <c r="B133" s="124"/>
      <c r="C133" s="218"/>
      <c r="D133" s="218"/>
      <c r="E133" s="218"/>
      <c r="F133" s="218"/>
      <c r="G133" s="218"/>
      <c r="H133" s="218"/>
      <c r="I133" s="218">
        <v>2027</v>
      </c>
      <c r="J133" s="218">
        <v>0.5</v>
      </c>
      <c r="K133" s="220">
        <f t="shared" si="11"/>
        <v>46630</v>
      </c>
      <c r="L133" s="124"/>
      <c r="M133" s="124"/>
      <c r="N133" s="124"/>
      <c r="O133" s="124"/>
      <c r="P133" s="31"/>
    </row>
    <row r="134" spans="1:17" ht="18" hidden="1" customHeight="1" x14ac:dyDescent="0.2">
      <c r="A134" s="124"/>
      <c r="B134" s="124"/>
      <c r="C134" s="218"/>
      <c r="D134" s="218"/>
      <c r="E134" s="218"/>
      <c r="F134" s="218"/>
      <c r="G134" s="218"/>
      <c r="H134" s="218"/>
      <c r="I134" s="218">
        <v>2028</v>
      </c>
      <c r="J134" s="218">
        <v>0.5</v>
      </c>
      <c r="K134" s="220">
        <f t="shared" si="11"/>
        <v>46996</v>
      </c>
      <c r="L134" s="124"/>
      <c r="M134" s="124"/>
      <c r="N134" s="124"/>
      <c r="O134" s="124"/>
      <c r="P134" s="31"/>
    </row>
    <row r="135" spans="1:17" ht="18" hidden="1" customHeight="1" x14ac:dyDescent="0.2">
      <c r="A135" s="124"/>
      <c r="B135" s="124"/>
      <c r="C135" s="218"/>
      <c r="D135" s="218"/>
      <c r="E135" s="218"/>
      <c r="F135" s="218"/>
      <c r="G135" s="218"/>
      <c r="H135" s="218"/>
      <c r="I135" s="218">
        <v>2029</v>
      </c>
      <c r="J135" s="218">
        <v>0.5</v>
      </c>
      <c r="K135" s="220">
        <f t="shared" si="11"/>
        <v>47361</v>
      </c>
      <c r="L135" s="124"/>
      <c r="M135" s="124"/>
      <c r="N135" s="124"/>
      <c r="O135" s="124"/>
      <c r="P135" s="31"/>
    </row>
    <row r="136" spans="1:17" ht="18" hidden="1" customHeight="1" x14ac:dyDescent="0.2">
      <c r="A136" s="124"/>
      <c r="B136" s="124"/>
      <c r="C136" s="218"/>
      <c r="D136" s="218"/>
      <c r="E136" s="218"/>
      <c r="F136" s="218"/>
      <c r="G136" s="218"/>
      <c r="H136" s="218"/>
      <c r="I136" s="218">
        <v>2030</v>
      </c>
      <c r="J136" s="218">
        <v>0.5</v>
      </c>
      <c r="K136" s="220">
        <f t="shared" si="11"/>
        <v>47726</v>
      </c>
      <c r="L136" s="124"/>
      <c r="M136" s="124"/>
      <c r="N136" s="124"/>
      <c r="O136" s="124"/>
      <c r="P136" s="31"/>
    </row>
    <row r="137" spans="1:17" ht="18" hidden="1" customHeight="1" x14ac:dyDescent="0.2">
      <c r="A137" s="124"/>
      <c r="B137" s="124"/>
      <c r="C137" s="218"/>
      <c r="D137" s="218"/>
      <c r="E137" s="218"/>
      <c r="F137" s="218"/>
      <c r="G137" s="218"/>
      <c r="H137" s="218"/>
      <c r="I137" s="218">
        <v>2031</v>
      </c>
      <c r="J137" s="218">
        <v>0.5</v>
      </c>
      <c r="K137" s="220">
        <f t="shared" si="11"/>
        <v>48091</v>
      </c>
      <c r="L137" s="124"/>
      <c r="M137" s="124"/>
      <c r="N137" s="124"/>
      <c r="O137" s="124"/>
      <c r="P137" s="31"/>
    </row>
    <row r="138" spans="1:17" ht="18" hidden="1" customHeight="1" x14ac:dyDescent="0.2">
      <c r="A138" s="124"/>
      <c r="B138" s="124"/>
      <c r="C138" s="218"/>
      <c r="D138" s="218"/>
      <c r="E138" s="218"/>
      <c r="F138" s="218"/>
      <c r="G138" s="218"/>
      <c r="H138" s="218"/>
      <c r="I138" s="218">
        <v>2032</v>
      </c>
      <c r="J138" s="218">
        <v>0.5</v>
      </c>
      <c r="K138" s="220">
        <f t="shared" si="11"/>
        <v>48457</v>
      </c>
      <c r="L138" s="124"/>
      <c r="M138" s="124"/>
      <c r="N138" s="124"/>
      <c r="O138" s="124"/>
      <c r="P138" s="31"/>
    </row>
    <row r="139" spans="1:17" ht="18" hidden="1" customHeight="1" x14ac:dyDescent="0.2">
      <c r="A139" s="124"/>
      <c r="B139" s="124"/>
      <c r="C139" s="218"/>
      <c r="D139" s="218"/>
      <c r="E139" s="218"/>
      <c r="F139" s="218"/>
      <c r="G139" s="218"/>
      <c r="H139" s="218"/>
      <c r="I139" s="218">
        <v>2033</v>
      </c>
      <c r="J139" s="218">
        <v>0.5</v>
      </c>
      <c r="K139" s="220">
        <f t="shared" si="11"/>
        <v>48822</v>
      </c>
      <c r="L139" s="124"/>
      <c r="M139" s="124"/>
      <c r="N139" s="124"/>
      <c r="O139" s="124"/>
      <c r="P139" s="31"/>
    </row>
    <row r="140" spans="1:17" ht="18" hidden="1" customHeight="1" x14ac:dyDescent="0.2">
      <c r="A140" s="124"/>
      <c r="B140" s="124"/>
      <c r="C140" s="218"/>
      <c r="D140" s="218"/>
      <c r="E140" s="218"/>
      <c r="F140" s="218"/>
      <c r="G140" s="218"/>
      <c r="H140" s="218"/>
      <c r="I140" s="218">
        <v>2034</v>
      </c>
      <c r="J140" s="218">
        <v>0.5</v>
      </c>
      <c r="K140" s="220">
        <f t="shared" si="11"/>
        <v>49187</v>
      </c>
      <c r="L140" s="124"/>
      <c r="M140" s="124"/>
      <c r="N140" s="124"/>
      <c r="O140" s="124"/>
      <c r="P140" s="31"/>
    </row>
    <row r="141" spans="1:17" ht="18" hidden="1" customHeight="1" x14ac:dyDescent="0.2">
      <c r="A141" s="124"/>
      <c r="B141" s="124"/>
      <c r="C141" s="218"/>
      <c r="D141" s="218"/>
      <c r="E141" s="218"/>
      <c r="F141" s="218"/>
      <c r="G141" s="218"/>
      <c r="H141" s="218"/>
      <c r="I141" s="218">
        <v>2035</v>
      </c>
      <c r="J141" s="218">
        <v>0.5</v>
      </c>
      <c r="K141" s="220">
        <f t="shared" si="11"/>
        <v>49552</v>
      </c>
      <c r="L141" s="124"/>
      <c r="M141" s="124"/>
      <c r="N141" s="124"/>
      <c r="O141" s="124"/>
      <c r="P141" s="31"/>
    </row>
    <row r="142" spans="1:17" ht="18" hidden="1" customHeight="1" x14ac:dyDescent="0.2">
      <c r="A142" s="124"/>
      <c r="B142" s="124"/>
      <c r="C142" s="218"/>
      <c r="D142" s="218"/>
      <c r="E142" s="218"/>
      <c r="F142" s="218"/>
      <c r="G142" s="218"/>
      <c r="H142" s="218"/>
      <c r="I142" s="218">
        <v>2036</v>
      </c>
      <c r="J142" s="218">
        <v>0.5</v>
      </c>
      <c r="K142" s="220">
        <f t="shared" si="11"/>
        <v>49918</v>
      </c>
      <c r="L142" s="124"/>
      <c r="M142" s="124"/>
      <c r="N142" s="124"/>
      <c r="O142" s="124"/>
      <c r="P142" s="31"/>
    </row>
    <row r="143" spans="1:17" ht="18" customHeight="1" thickBot="1" x14ac:dyDescent="0.25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31"/>
    </row>
    <row r="144" spans="1:17" ht="13.5" customHeight="1" x14ac:dyDescent="0.2">
      <c r="A144" s="414" t="s">
        <v>168</v>
      </c>
      <c r="B144" s="534" t="s">
        <v>169</v>
      </c>
      <c r="C144" s="535"/>
      <c r="D144" s="535"/>
      <c r="E144" s="535"/>
      <c r="F144" s="536"/>
      <c r="G144" s="427" t="s">
        <v>170</v>
      </c>
      <c r="H144" s="428"/>
      <c r="I144" s="428"/>
      <c r="J144" s="428"/>
      <c r="K144" s="429"/>
      <c r="L144" s="464" t="s">
        <v>171</v>
      </c>
      <c r="M144" s="465"/>
      <c r="N144" s="466"/>
      <c r="O144" s="337">
        <f>O155-H121</f>
        <v>0</v>
      </c>
      <c r="P144" s="150"/>
      <c r="Q144" s="1" t="s">
        <v>172</v>
      </c>
    </row>
    <row r="145" spans="1:17" ht="13.5" customHeight="1" x14ac:dyDescent="0.2">
      <c r="A145" s="415"/>
      <c r="B145" s="537"/>
      <c r="C145" s="538"/>
      <c r="D145" s="538"/>
      <c r="E145" s="538"/>
      <c r="F145" s="539"/>
      <c r="G145" s="430"/>
      <c r="H145" s="431"/>
      <c r="I145" s="431"/>
      <c r="J145" s="431"/>
      <c r="K145" s="432"/>
      <c r="L145" s="476" t="s">
        <v>173</v>
      </c>
      <c r="M145" s="477"/>
      <c r="N145" s="478"/>
      <c r="O145" s="338">
        <f>H121</f>
        <v>0</v>
      </c>
      <c r="P145" s="150"/>
    </row>
    <row r="146" spans="1:17" ht="13.5" customHeight="1" x14ac:dyDescent="0.2">
      <c r="A146" s="415"/>
      <c r="B146" s="369" t="s">
        <v>174</v>
      </c>
      <c r="C146" s="370"/>
      <c r="D146" s="370"/>
      <c r="E146" s="370"/>
      <c r="F146" s="371"/>
      <c r="G146" s="430"/>
      <c r="H146" s="431"/>
      <c r="I146" s="431"/>
      <c r="J146" s="431"/>
      <c r="K146" s="432"/>
      <c r="L146" s="376" t="s">
        <v>175</v>
      </c>
      <c r="M146" s="377"/>
      <c r="N146" s="378"/>
      <c r="O146" s="339">
        <f>O155-O87-O83-O92-O99+K121</f>
        <v>0</v>
      </c>
      <c r="P146" s="150"/>
      <c r="Q146" s="225" t="s">
        <v>176</v>
      </c>
    </row>
    <row r="147" spans="1:17" ht="13.5" customHeight="1" x14ac:dyDescent="0.3">
      <c r="A147" s="415"/>
      <c r="B147" s="226"/>
      <c r="C147" s="118" t="s">
        <v>177</v>
      </c>
      <c r="D147" s="118"/>
      <c r="E147" s="118"/>
      <c r="F147" s="227">
        <v>0.5</v>
      </c>
      <c r="G147" s="430"/>
      <c r="H147" s="431"/>
      <c r="I147" s="431"/>
      <c r="J147" s="431"/>
      <c r="K147" s="432"/>
      <c r="L147" s="153" t="s">
        <v>178</v>
      </c>
      <c r="M147" s="113">
        <f>VLOOKUP($G$123,$I$124:$J$142,2,FALSE)</f>
        <v>0.5</v>
      </c>
      <c r="N147" s="250" t="s">
        <v>179</v>
      </c>
      <c r="O147" s="340">
        <f>IF($L$7-VLOOKUP($G$123,$I$124:$K$142,3,FALSE)&lt;0,$O$146,ROUND((1-($L$7-VLOOKUP($G$123,$I$124:$K$142,3,FALSE))/($L$7+1-$L$5))*$O$146,0))</f>
        <v>0</v>
      </c>
      <c r="P147" s="33"/>
      <c r="Q147" s="108"/>
    </row>
    <row r="148" spans="1:17" ht="13.5" customHeight="1" x14ac:dyDescent="0.3">
      <c r="A148" s="415"/>
      <c r="B148" s="226"/>
      <c r="C148" s="118" t="s">
        <v>180</v>
      </c>
      <c r="D148" s="118"/>
      <c r="E148" s="118"/>
      <c r="F148" s="227">
        <v>0.5</v>
      </c>
      <c r="G148" s="430"/>
      <c r="H148" s="431"/>
      <c r="I148" s="431"/>
      <c r="J148" s="431"/>
      <c r="K148" s="432"/>
      <c r="L148" s="154" t="s">
        <v>181</v>
      </c>
      <c r="M148" s="113">
        <f>VLOOKUP($G$123+1,$I$124:$J$142,2,FALSE)</f>
        <v>0.5</v>
      </c>
      <c r="N148" s="250" t="s">
        <v>182</v>
      </c>
      <c r="O148" s="340">
        <f>O146-O147</f>
        <v>0</v>
      </c>
      <c r="P148" s="33"/>
    </row>
    <row r="149" spans="1:17" ht="13.5" customHeight="1" x14ac:dyDescent="0.3">
      <c r="A149" s="415"/>
      <c r="B149" s="226"/>
      <c r="C149" s="118" t="s">
        <v>183</v>
      </c>
      <c r="D149" s="118"/>
      <c r="E149" s="118"/>
      <c r="F149" s="227">
        <v>0.36</v>
      </c>
      <c r="G149" s="430"/>
      <c r="H149" s="431"/>
      <c r="I149" s="431"/>
      <c r="J149" s="431"/>
      <c r="K149" s="432"/>
      <c r="L149" s="528" t="s">
        <v>184</v>
      </c>
      <c r="M149" s="529"/>
      <c r="N149" s="530"/>
      <c r="O149" s="341">
        <f>ROUND(M147*O147,0)</f>
        <v>0</v>
      </c>
      <c r="P149" s="33"/>
    </row>
    <row r="150" spans="1:17" ht="13.5" customHeight="1" x14ac:dyDescent="0.3">
      <c r="A150" s="415"/>
      <c r="B150" s="228"/>
      <c r="C150" s="229"/>
      <c r="D150" s="229"/>
      <c r="E150" s="229"/>
      <c r="F150" s="230"/>
      <c r="G150" s="433"/>
      <c r="H150" s="434"/>
      <c r="I150" s="434"/>
      <c r="J150" s="434"/>
      <c r="K150" s="435"/>
      <c r="L150" s="554" t="s">
        <v>185</v>
      </c>
      <c r="M150" s="555"/>
      <c r="N150" s="556"/>
      <c r="O150" s="342">
        <f>ROUND(M148*O148,0)</f>
        <v>0</v>
      </c>
      <c r="P150" s="33"/>
    </row>
    <row r="151" spans="1:17" ht="13.5" customHeight="1" x14ac:dyDescent="0.2">
      <c r="A151" s="415"/>
      <c r="B151" s="369" t="s">
        <v>186</v>
      </c>
      <c r="C151" s="370"/>
      <c r="D151" s="370"/>
      <c r="E151" s="370"/>
      <c r="F151" s="371"/>
      <c r="G151" s="545" t="s">
        <v>187</v>
      </c>
      <c r="H151" s="546"/>
      <c r="I151" s="546"/>
      <c r="J151" s="546"/>
      <c r="K151" s="546"/>
      <c r="L151" s="546"/>
      <c r="M151" s="546"/>
      <c r="N151" s="546"/>
      <c r="O151" s="547"/>
      <c r="P151" s="155"/>
    </row>
    <row r="152" spans="1:17" ht="13.5" customHeight="1" x14ac:dyDescent="0.2">
      <c r="A152" s="415"/>
      <c r="B152" s="226"/>
      <c r="C152" s="118" t="s">
        <v>188</v>
      </c>
      <c r="D152" s="118"/>
      <c r="E152" s="118"/>
      <c r="F152" s="227">
        <v>0.26</v>
      </c>
      <c r="G152" s="548"/>
      <c r="H152" s="549"/>
      <c r="I152" s="549"/>
      <c r="J152" s="549"/>
      <c r="K152" s="549"/>
      <c r="L152" s="549"/>
      <c r="M152" s="549"/>
      <c r="N152" s="549"/>
      <c r="O152" s="550"/>
      <c r="P152" s="155"/>
    </row>
    <row r="153" spans="1:17" ht="14.25" customHeight="1" thickBot="1" x14ac:dyDescent="0.25">
      <c r="A153" s="416"/>
      <c r="B153" s="226"/>
      <c r="C153" s="118"/>
      <c r="D153" s="118"/>
      <c r="E153" s="118"/>
      <c r="F153" s="227"/>
      <c r="G153" s="551"/>
      <c r="H153" s="552"/>
      <c r="I153" s="552"/>
      <c r="J153" s="552"/>
      <c r="K153" s="552"/>
      <c r="L153" s="552"/>
      <c r="M153" s="552"/>
      <c r="N153" s="552"/>
      <c r="O153" s="553"/>
      <c r="P153" s="155"/>
    </row>
    <row r="154" spans="1:17" ht="18" customHeight="1" thickBot="1" x14ac:dyDescent="0.25">
      <c r="A154" s="417"/>
      <c r="B154" s="417"/>
      <c r="C154" s="417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31"/>
    </row>
    <row r="155" spans="1:17" ht="17.100000000000001" customHeight="1" x14ac:dyDescent="0.25">
      <c r="A155" s="398" t="s">
        <v>189</v>
      </c>
      <c r="B155" s="399"/>
      <c r="C155" s="404" t="s">
        <v>190</v>
      </c>
      <c r="D155" s="405"/>
      <c r="E155" s="405"/>
      <c r="F155" s="410"/>
      <c r="G155" s="411"/>
      <c r="H155" s="17"/>
      <c r="I155" s="414" t="s">
        <v>191</v>
      </c>
      <c r="J155" s="438" t="str">
        <f>K3</f>
        <v>Period 6</v>
      </c>
      <c r="K155" s="453" t="s">
        <v>192</v>
      </c>
      <c r="L155" s="454"/>
      <c r="M155" s="454"/>
      <c r="N155" s="455"/>
      <c r="O155" s="343">
        <f>O37+O83+O66+O87+O69+O99+O92</f>
        <v>0</v>
      </c>
      <c r="P155" s="156"/>
    </row>
    <row r="156" spans="1:17" ht="17.100000000000001" customHeight="1" x14ac:dyDescent="0.25">
      <c r="A156" s="400"/>
      <c r="B156" s="401"/>
      <c r="C156" s="407"/>
      <c r="D156" s="408"/>
      <c r="E156" s="408"/>
      <c r="F156" s="412"/>
      <c r="G156" s="413"/>
      <c r="H156" s="17"/>
      <c r="I156" s="415"/>
      <c r="J156" s="439"/>
      <c r="K156" s="444" t="s">
        <v>193</v>
      </c>
      <c r="L156" s="445"/>
      <c r="M156" s="445"/>
      <c r="N156" s="446"/>
      <c r="O156" s="344">
        <f>O149+O150</f>
        <v>0</v>
      </c>
      <c r="P156" s="156"/>
      <c r="Q156" s="23"/>
    </row>
    <row r="157" spans="1:17" ht="17.100000000000001" customHeight="1" thickBot="1" x14ac:dyDescent="0.3">
      <c r="A157" s="402"/>
      <c r="B157" s="403"/>
      <c r="C157" s="441" t="s">
        <v>194</v>
      </c>
      <c r="D157" s="442"/>
      <c r="E157" s="443"/>
      <c r="F157" s="394" t="str">
        <f>IF(O158&lt;&gt;0,F155/O158,"-")</f>
        <v>-</v>
      </c>
      <c r="G157" s="395"/>
      <c r="H157" s="17"/>
      <c r="I157" s="415"/>
      <c r="J157" s="439"/>
      <c r="K157" s="447" t="s">
        <v>195</v>
      </c>
      <c r="L157" s="448"/>
      <c r="M157" s="448"/>
      <c r="N157" s="449"/>
      <c r="O157" s="345">
        <f>O155+O156</f>
        <v>0</v>
      </c>
      <c r="P157" s="156"/>
    </row>
    <row r="158" spans="1:17" ht="17.100000000000001" customHeight="1" thickBot="1" x14ac:dyDescent="0.3">
      <c r="A158" s="396"/>
      <c r="B158" s="396"/>
      <c r="C158" s="396"/>
      <c r="D158" s="396"/>
      <c r="E158" s="396"/>
      <c r="F158" s="396"/>
      <c r="G158" s="396"/>
      <c r="H158" s="397"/>
      <c r="I158" s="416"/>
      <c r="J158" s="440"/>
      <c r="K158" s="450" t="s">
        <v>196</v>
      </c>
      <c r="L158" s="451"/>
      <c r="M158" s="451"/>
      <c r="N158" s="452"/>
      <c r="O158" s="346">
        <f>O157+F155</f>
        <v>0</v>
      </c>
      <c r="P158" s="156"/>
    </row>
    <row r="166" spans="17:17" x14ac:dyDescent="0.2">
      <c r="Q166" s="23"/>
    </row>
  </sheetData>
  <sheetProtection algorithmName="SHA-512" hashValue="aKmVJEZJUD7FPpi+SHEBbmquaxKuTcdZYaa0Uvb+EIZU+rOA62NEdhgneRVP3NowPTDd0WTvAGpTiKyrldTBAQ==" saltValue="GtBkKa/Jys3s4vtJs2QFQg==" spinCount="100000" sheet="1" formatRows="0" insertRows="0"/>
  <mergeCells count="224">
    <mergeCell ref="A154:O154"/>
    <mergeCell ref="A155:B157"/>
    <mergeCell ref="C155:E156"/>
    <mergeCell ref="F155:G156"/>
    <mergeCell ref="I155:I158"/>
    <mergeCell ref="J155:J158"/>
    <mergeCell ref="C157:E157"/>
    <mergeCell ref="F157:G157"/>
    <mergeCell ref="K157:N157"/>
    <mergeCell ref="A158:H158"/>
    <mergeCell ref="K158:N158"/>
    <mergeCell ref="A5:C6"/>
    <mergeCell ref="D5:F6"/>
    <mergeCell ref="K5:K6"/>
    <mergeCell ref="L5:L6"/>
    <mergeCell ref="A7:C10"/>
    <mergeCell ref="D7:F10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A36:O36"/>
    <mergeCell ref="A37:A81"/>
    <mergeCell ref="B38:C38"/>
    <mergeCell ref="G38:H38"/>
    <mergeCell ref="B39:C39"/>
    <mergeCell ref="G39:H39"/>
    <mergeCell ref="B40:C40"/>
    <mergeCell ref="G40:H40"/>
    <mergeCell ref="B41:C41"/>
    <mergeCell ref="B45:C45"/>
    <mergeCell ref="G45:H45"/>
    <mergeCell ref="B46:C46"/>
    <mergeCell ref="G46:H46"/>
    <mergeCell ref="B47:C47"/>
    <mergeCell ref="G47:H47"/>
    <mergeCell ref="G41:H41"/>
    <mergeCell ref="B42:C42"/>
    <mergeCell ref="G42:H42"/>
    <mergeCell ref="B43:C43"/>
    <mergeCell ref="G43:H43"/>
    <mergeCell ref="B44:C44"/>
    <mergeCell ref="G44:H44"/>
    <mergeCell ref="B51:C51"/>
    <mergeCell ref="G51:H51"/>
    <mergeCell ref="B52:C52"/>
    <mergeCell ref="G52:H52"/>
    <mergeCell ref="B53:C53"/>
    <mergeCell ref="G53:H53"/>
    <mergeCell ref="B48:C48"/>
    <mergeCell ref="G48:H48"/>
    <mergeCell ref="B49:C49"/>
    <mergeCell ref="G49:H49"/>
    <mergeCell ref="B50:C50"/>
    <mergeCell ref="G50:H50"/>
    <mergeCell ref="B57:C57"/>
    <mergeCell ref="G57:H57"/>
    <mergeCell ref="B58:C58"/>
    <mergeCell ref="G58:H58"/>
    <mergeCell ref="B59:C59"/>
    <mergeCell ref="G59:H59"/>
    <mergeCell ref="B54:C54"/>
    <mergeCell ref="G54:H54"/>
    <mergeCell ref="B55:C55"/>
    <mergeCell ref="G55:H55"/>
    <mergeCell ref="B56:C56"/>
    <mergeCell ref="G56:H56"/>
    <mergeCell ref="B63:C63"/>
    <mergeCell ref="G63:H63"/>
    <mergeCell ref="B64:C64"/>
    <mergeCell ref="G64:H64"/>
    <mergeCell ref="B65:C65"/>
    <mergeCell ref="G65:H65"/>
    <mergeCell ref="B60:C60"/>
    <mergeCell ref="G60:H60"/>
    <mergeCell ref="B61:C61"/>
    <mergeCell ref="G61:H61"/>
    <mergeCell ref="B62:C62"/>
    <mergeCell ref="G62:H62"/>
    <mergeCell ref="B70:N70"/>
    <mergeCell ref="B78:N78"/>
    <mergeCell ref="B79:N79"/>
    <mergeCell ref="B66:M66"/>
    <mergeCell ref="B67:N67"/>
    <mergeCell ref="B68:N68"/>
    <mergeCell ref="B69:M69"/>
    <mergeCell ref="B71:M71"/>
    <mergeCell ref="B72:M72"/>
    <mergeCell ref="B73:M73"/>
    <mergeCell ref="B74:M74"/>
    <mergeCell ref="B75:M75"/>
    <mergeCell ref="B76:M76"/>
    <mergeCell ref="B77:N77"/>
    <mergeCell ref="B89:N89"/>
    <mergeCell ref="B90:N90"/>
    <mergeCell ref="B91:N91"/>
    <mergeCell ref="B92:M92"/>
    <mergeCell ref="B93:N93"/>
    <mergeCell ref="B94:N94"/>
    <mergeCell ref="B80:N80"/>
    <mergeCell ref="B81:N81"/>
    <mergeCell ref="A82:O82"/>
    <mergeCell ref="A83:A97"/>
    <mergeCell ref="B83:M83"/>
    <mergeCell ref="B84:N84"/>
    <mergeCell ref="B85:N85"/>
    <mergeCell ref="B86:N86"/>
    <mergeCell ref="B87:M87"/>
    <mergeCell ref="B88:N88"/>
    <mergeCell ref="B95:N95"/>
    <mergeCell ref="B96:N96"/>
    <mergeCell ref="B97:N97"/>
    <mergeCell ref="B98:O98"/>
    <mergeCell ref="A99:A121"/>
    <mergeCell ref="B99:M99"/>
    <mergeCell ref="B100:B121"/>
    <mergeCell ref="C103:E103"/>
    <mergeCell ref="F103:G103"/>
    <mergeCell ref="H103:I103"/>
    <mergeCell ref="N103:O103"/>
    <mergeCell ref="C104:E104"/>
    <mergeCell ref="F104:G104"/>
    <mergeCell ref="H104:I104"/>
    <mergeCell ref="N104:O104"/>
    <mergeCell ref="C101:E101"/>
    <mergeCell ref="F101:G101"/>
    <mergeCell ref="H101:I101"/>
    <mergeCell ref="N101:O101"/>
    <mergeCell ref="C102:E102"/>
    <mergeCell ref="F102:G102"/>
    <mergeCell ref="H102:I102"/>
    <mergeCell ref="N102:O102"/>
    <mergeCell ref="C107:E107"/>
    <mergeCell ref="F107:G107"/>
    <mergeCell ref="H107:I107"/>
    <mergeCell ref="N107:O107"/>
    <mergeCell ref="C108:E108"/>
    <mergeCell ref="F108:G108"/>
    <mergeCell ref="H108:I108"/>
    <mergeCell ref="N108:O108"/>
    <mergeCell ref="C105:E105"/>
    <mergeCell ref="F105:G105"/>
    <mergeCell ref="H105:I105"/>
    <mergeCell ref="N105:O105"/>
    <mergeCell ref="C106:E106"/>
    <mergeCell ref="F106:G106"/>
    <mergeCell ref="H106:I106"/>
    <mergeCell ref="N106:O106"/>
    <mergeCell ref="C111:E111"/>
    <mergeCell ref="F111:G111"/>
    <mergeCell ref="H111:I111"/>
    <mergeCell ref="N111:O111"/>
    <mergeCell ref="C112:E112"/>
    <mergeCell ref="F112:G112"/>
    <mergeCell ref="H112:I112"/>
    <mergeCell ref="N112:O112"/>
    <mergeCell ref="C109:E109"/>
    <mergeCell ref="F109:G109"/>
    <mergeCell ref="H109:I109"/>
    <mergeCell ref="N109:O109"/>
    <mergeCell ref="C110:E110"/>
    <mergeCell ref="F110:G110"/>
    <mergeCell ref="H110:I110"/>
    <mergeCell ref="N110:O110"/>
    <mergeCell ref="C115:E115"/>
    <mergeCell ref="F115:G115"/>
    <mergeCell ref="H115:I115"/>
    <mergeCell ref="N115:O115"/>
    <mergeCell ref="C116:E116"/>
    <mergeCell ref="F116:G116"/>
    <mergeCell ref="H116:I116"/>
    <mergeCell ref="N116:O116"/>
    <mergeCell ref="C113:E113"/>
    <mergeCell ref="F113:G113"/>
    <mergeCell ref="H113:I113"/>
    <mergeCell ref="N113:O113"/>
    <mergeCell ref="C114:E114"/>
    <mergeCell ref="F114:G114"/>
    <mergeCell ref="H114:I114"/>
    <mergeCell ref="N114:O114"/>
    <mergeCell ref="F119:G119"/>
    <mergeCell ref="H119:I119"/>
    <mergeCell ref="N119:O119"/>
    <mergeCell ref="C120:E120"/>
    <mergeCell ref="F120:G120"/>
    <mergeCell ref="H120:I120"/>
    <mergeCell ref="N120:O120"/>
    <mergeCell ref="C117:E117"/>
    <mergeCell ref="F117:G117"/>
    <mergeCell ref="H117:I117"/>
    <mergeCell ref="N117:O117"/>
    <mergeCell ref="C118:E118"/>
    <mergeCell ref="F118:G118"/>
    <mergeCell ref="H118:I118"/>
    <mergeCell ref="N118:O118"/>
    <mergeCell ref="F100:G100"/>
    <mergeCell ref="H100:I100"/>
    <mergeCell ref="N100:O100"/>
    <mergeCell ref="B146:F146"/>
    <mergeCell ref="B151:F151"/>
    <mergeCell ref="B37:J37"/>
    <mergeCell ref="K37:L37"/>
    <mergeCell ref="K155:N155"/>
    <mergeCell ref="K156:N156"/>
    <mergeCell ref="L146:N146"/>
    <mergeCell ref="C121:E121"/>
    <mergeCell ref="F121:G121"/>
    <mergeCell ref="H121:I121"/>
    <mergeCell ref="A122:O122"/>
    <mergeCell ref="B144:F144"/>
    <mergeCell ref="L144:N144"/>
    <mergeCell ref="B145:F145"/>
    <mergeCell ref="L145:N145"/>
    <mergeCell ref="A144:A153"/>
    <mergeCell ref="G144:K150"/>
    <mergeCell ref="L149:N149"/>
    <mergeCell ref="L150:N150"/>
    <mergeCell ref="G151:O153"/>
    <mergeCell ref="C119:E119"/>
  </mergeCells>
  <conditionalFormatting sqref="J39:J65">
    <cfRule type="expression" dxfId="4" priority="1">
      <formula>E39&lt;&gt;"Hourly"</formula>
    </cfRule>
  </conditionalFormatting>
  <dataValidations count="2">
    <dataValidation type="list" allowBlank="1" showInputMessage="1" showErrorMessage="1" sqref="F39:F65" xr:uid="{00000000-0002-0000-0700-000000000000}">
      <formula1>INDIRECT(E39)</formula1>
    </dataValidation>
    <dataValidation type="list" allowBlank="1" showInputMessage="1" showErrorMessage="1" sqref="E39:E65" xr:uid="{00000000-0002-0000-0700-000001000000}">
      <formula1>$B$12:$B$17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66"/>
  <sheetViews>
    <sheetView topLeftCell="A2" zoomScaleNormal="100" zoomScalePageLayoutView="85" workbookViewId="0">
      <selection activeCell="B91" sqref="B91:N92"/>
    </sheetView>
  </sheetViews>
  <sheetFormatPr defaultColWidth="8.7109375" defaultRowHeight="12.75" x14ac:dyDescent="0.2"/>
  <cols>
    <col min="1" max="2" width="4.28515625" style="1" customWidth="1"/>
    <col min="3" max="3" width="23.7109375" style="1" customWidth="1"/>
    <col min="4" max="4" width="9.7109375" style="1" customWidth="1"/>
    <col min="5" max="5" width="14.7109375" style="1" customWidth="1"/>
    <col min="6" max="6" width="18.7109375" style="1" customWidth="1"/>
    <col min="7" max="7" width="6.42578125" style="1" customWidth="1"/>
    <col min="8" max="8" width="9" style="1" customWidth="1"/>
    <col min="9" max="9" width="8.7109375" style="1" customWidth="1"/>
    <col min="10" max="10" width="11.7109375" style="2" customWidth="1"/>
    <col min="11" max="11" width="13" style="2" customWidth="1"/>
    <col min="12" max="13" width="12.7109375" style="1" customWidth="1"/>
    <col min="14" max="14" width="18" style="1" customWidth="1"/>
    <col min="15" max="15" width="17.28515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7109375" style="1"/>
  </cols>
  <sheetData>
    <row r="1" spans="1:18" s="3" customFormat="1" ht="22.15" customHeight="1" x14ac:dyDescent="0.2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126"/>
    </row>
    <row r="2" spans="1:18" s="3" customFormat="1" ht="35.25" customHeight="1" thickBot="1" x14ac:dyDescent="0.3">
      <c r="A2" s="512" t="s">
        <v>60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127"/>
    </row>
    <row r="3" spans="1:18" s="3" customFormat="1" ht="12" customHeight="1" x14ac:dyDescent="0.25">
      <c r="A3" s="514" t="s">
        <v>62</v>
      </c>
      <c r="B3" s="515"/>
      <c r="C3" s="515"/>
      <c r="D3" s="456">
        <f>'Per6'!D3</f>
        <v>0</v>
      </c>
      <c r="E3" s="456"/>
      <c r="F3" s="456"/>
      <c r="G3" s="24"/>
      <c r="H3" s="122"/>
      <c r="I3" s="122"/>
      <c r="J3" s="122"/>
      <c r="K3" s="460" t="s">
        <v>207</v>
      </c>
      <c r="L3" s="461"/>
      <c r="M3" s="516" t="s">
        <v>201</v>
      </c>
      <c r="N3" s="517"/>
      <c r="O3" s="518"/>
      <c r="P3" s="28"/>
      <c r="Q3" s="14" t="s">
        <v>66</v>
      </c>
    </row>
    <row r="4" spans="1:18" ht="18.600000000000001" customHeight="1" thickBot="1" x14ac:dyDescent="0.3">
      <c r="A4" s="483"/>
      <c r="B4" s="484"/>
      <c r="C4" s="484"/>
      <c r="D4" s="457"/>
      <c r="E4" s="457"/>
      <c r="F4" s="457"/>
      <c r="G4" s="119"/>
      <c r="H4" s="123"/>
      <c r="I4" s="123"/>
      <c r="J4" s="123"/>
      <c r="K4" s="462"/>
      <c r="L4" s="463"/>
      <c r="M4" s="519" t="s">
        <v>65</v>
      </c>
      <c r="N4" s="520"/>
      <c r="O4" s="521"/>
      <c r="P4" s="128"/>
      <c r="Q4" s="255" t="s">
        <v>71</v>
      </c>
    </row>
    <row r="5" spans="1:18" ht="18" customHeight="1" thickBot="1" x14ac:dyDescent="0.3">
      <c r="A5" s="483" t="s">
        <v>67</v>
      </c>
      <c r="B5" s="484"/>
      <c r="C5" s="484"/>
      <c r="D5" s="458">
        <f>'Per6'!D5</f>
        <v>0</v>
      </c>
      <c r="E5" s="458"/>
      <c r="F5" s="458"/>
      <c r="G5" s="52"/>
      <c r="H5" s="53"/>
      <c r="I5" s="53"/>
      <c r="J5" s="35"/>
      <c r="K5" s="459" t="s">
        <v>68</v>
      </c>
      <c r="L5" s="568">
        <f>'Per6'!L7+1</f>
        <v>47727</v>
      </c>
      <c r="M5" s="129"/>
      <c r="N5" s="130" t="s">
        <v>69</v>
      </c>
      <c r="O5" s="131" t="s">
        <v>70</v>
      </c>
      <c r="P5" s="132"/>
      <c r="Q5" s="14" t="s">
        <v>73</v>
      </c>
      <c r="R5" s="133"/>
    </row>
    <row r="6" spans="1:18" ht="12" customHeight="1" thickTop="1" x14ac:dyDescent="0.25">
      <c r="A6" s="483"/>
      <c r="B6" s="484"/>
      <c r="C6" s="484"/>
      <c r="D6" s="457"/>
      <c r="E6" s="457"/>
      <c r="F6" s="457"/>
      <c r="G6" s="119"/>
      <c r="H6" s="53"/>
      <c r="I6" s="53"/>
      <c r="J6" s="35"/>
      <c r="K6" s="459"/>
      <c r="L6" s="569"/>
      <c r="M6" s="134" t="s">
        <v>72</v>
      </c>
      <c r="N6" s="356">
        <v>1453.34</v>
      </c>
      <c r="O6" s="357">
        <v>726.68</v>
      </c>
      <c r="P6" s="135"/>
      <c r="Q6" s="1" t="s">
        <v>77</v>
      </c>
    </row>
    <row r="7" spans="1:18" ht="12" customHeight="1" x14ac:dyDescent="0.25">
      <c r="A7" s="483" t="s">
        <v>198</v>
      </c>
      <c r="B7" s="484"/>
      <c r="C7" s="484"/>
      <c r="D7" s="575">
        <f>'Per6'!D7</f>
        <v>0</v>
      </c>
      <c r="E7" s="575"/>
      <c r="F7" s="575"/>
      <c r="G7" s="55"/>
      <c r="H7" s="54"/>
      <c r="I7" s="54"/>
      <c r="J7" s="35"/>
      <c r="K7" s="459" t="s">
        <v>75</v>
      </c>
      <c r="L7" s="570">
        <f>EDATE(L5,12)-1</f>
        <v>48091</v>
      </c>
      <c r="M7" s="136" t="s">
        <v>76</v>
      </c>
      <c r="N7" s="358">
        <v>1041.9000000000001</v>
      </c>
      <c r="O7" s="359">
        <v>520.96</v>
      </c>
      <c r="P7" s="135"/>
    </row>
    <row r="8" spans="1:18" ht="12.75" customHeight="1" x14ac:dyDescent="0.25">
      <c r="A8" s="483"/>
      <c r="B8" s="484"/>
      <c r="C8" s="484"/>
      <c r="D8" s="498"/>
      <c r="E8" s="498"/>
      <c r="F8" s="498"/>
      <c r="G8" s="55"/>
      <c r="H8" s="54"/>
      <c r="I8" s="54"/>
      <c r="K8" s="459"/>
      <c r="L8" s="569"/>
      <c r="M8" s="136" t="s">
        <v>78</v>
      </c>
      <c r="N8" s="358">
        <v>1189.2</v>
      </c>
      <c r="O8" s="359">
        <v>594.6</v>
      </c>
      <c r="P8" s="135"/>
    </row>
    <row r="9" spans="1:18" ht="12.75" customHeight="1" x14ac:dyDescent="0.25">
      <c r="A9" s="483"/>
      <c r="B9" s="484"/>
      <c r="C9" s="484"/>
      <c r="D9" s="498"/>
      <c r="E9" s="498"/>
      <c r="F9" s="498"/>
      <c r="G9" s="55"/>
      <c r="H9" s="54"/>
      <c r="I9" s="54"/>
      <c r="K9" s="251"/>
      <c r="L9" s="252"/>
      <c r="M9" s="253" t="s">
        <v>79</v>
      </c>
      <c r="N9" s="360">
        <v>780.24</v>
      </c>
      <c r="O9" s="361">
        <v>390.12</v>
      </c>
      <c r="P9" s="135"/>
    </row>
    <row r="10" spans="1:18" ht="12" customHeight="1" thickBot="1" x14ac:dyDescent="0.3">
      <c r="A10" s="485"/>
      <c r="B10" s="486"/>
      <c r="C10" s="486"/>
      <c r="D10" s="499"/>
      <c r="E10" s="499"/>
      <c r="F10" s="499"/>
      <c r="G10" s="56"/>
      <c r="H10" s="25"/>
      <c r="I10" s="120"/>
      <c r="J10" s="120"/>
      <c r="K10" s="120"/>
      <c r="L10" s="26"/>
      <c r="M10" s="137" t="s">
        <v>80</v>
      </c>
      <c r="N10" s="362" t="s">
        <v>81</v>
      </c>
      <c r="O10" s="363">
        <v>746.09</v>
      </c>
      <c r="P10" s="135"/>
    </row>
    <row r="11" spans="1:18" ht="13.5" hidden="1" thickBot="1" x14ac:dyDescent="0.25">
      <c r="B11" s="210"/>
      <c r="C11" s="210"/>
      <c r="D11" s="210"/>
      <c r="E11" s="279" t="s">
        <v>82</v>
      </c>
      <c r="F11" s="305" t="s">
        <v>83</v>
      </c>
      <c r="G11" s="306" t="s">
        <v>84</v>
      </c>
      <c r="H11" s="307" t="s">
        <v>85</v>
      </c>
      <c r="I11" s="211" t="s">
        <v>86</v>
      </c>
      <c r="J11" s="308" t="s">
        <v>87</v>
      </c>
      <c r="K11" s="210"/>
      <c r="L11" s="210"/>
      <c r="M11" s="210"/>
      <c r="N11" s="211" t="s">
        <v>88</v>
      </c>
      <c r="O11" s="212">
        <v>0</v>
      </c>
      <c r="P11" s="138"/>
    </row>
    <row r="12" spans="1:18" hidden="1" x14ac:dyDescent="0.2">
      <c r="B12" s="279" t="s">
        <v>82</v>
      </c>
      <c r="C12" s="275">
        <f>1/900</f>
        <v>1.1111111111111111E-3</v>
      </c>
      <c r="D12" s="213"/>
      <c r="E12" s="287" t="s">
        <v>88</v>
      </c>
      <c r="F12" s="280" t="s">
        <v>88</v>
      </c>
      <c r="G12" s="297" t="s">
        <v>88</v>
      </c>
      <c r="H12" s="298" t="s">
        <v>88</v>
      </c>
      <c r="I12" s="210" t="s">
        <v>88</v>
      </c>
      <c r="J12" s="293" t="s">
        <v>88</v>
      </c>
      <c r="K12" s="279" t="str">
        <f>B12&amp;M6</f>
        <v>FT_BE_09Emp/Family</v>
      </c>
      <c r="L12" s="273">
        <f>N6</f>
        <v>1453.34</v>
      </c>
      <c r="M12" s="274">
        <v>0.18</v>
      </c>
      <c r="N12" s="275">
        <v>100</v>
      </c>
      <c r="O12" s="210"/>
    </row>
    <row r="13" spans="1:18" hidden="1" x14ac:dyDescent="0.2">
      <c r="B13" s="283" t="s">
        <v>83</v>
      </c>
      <c r="C13" s="282">
        <f>1/1200</f>
        <v>8.3333333333333339E-4</v>
      </c>
      <c r="D13" s="213"/>
      <c r="E13" s="309" t="s">
        <v>72</v>
      </c>
      <c r="F13" s="300" t="s">
        <v>72</v>
      </c>
      <c r="G13" s="301" t="s">
        <v>72</v>
      </c>
      <c r="H13" s="298" t="s">
        <v>89</v>
      </c>
      <c r="I13" s="210"/>
      <c r="J13" s="293" t="s">
        <v>89</v>
      </c>
      <c r="K13" s="287" t="str">
        <f>B12&amp;M7</f>
        <v>FT_BE_09Emp/Child</v>
      </c>
      <c r="L13" s="294">
        <f>N7</f>
        <v>1041.9000000000001</v>
      </c>
      <c r="M13" s="277">
        <v>0.18</v>
      </c>
      <c r="N13" s="278">
        <v>100</v>
      </c>
      <c r="O13" s="210"/>
    </row>
    <row r="14" spans="1:18" hidden="1" x14ac:dyDescent="0.2">
      <c r="B14" s="284" t="s">
        <v>84</v>
      </c>
      <c r="C14" s="286">
        <f>1/1200</f>
        <v>8.3333333333333339E-4</v>
      </c>
      <c r="D14" s="213"/>
      <c r="E14" s="309" t="s">
        <v>76</v>
      </c>
      <c r="F14" s="300" t="s">
        <v>76</v>
      </c>
      <c r="G14" s="301" t="s">
        <v>76</v>
      </c>
      <c r="H14" s="298"/>
      <c r="I14" s="210"/>
      <c r="J14" s="293"/>
      <c r="K14" s="287" t="str">
        <f>B12&amp;M8</f>
        <v>FT_BE_09Emp/Spouse</v>
      </c>
      <c r="L14" s="294">
        <f>N8</f>
        <v>1189.2</v>
      </c>
      <c r="M14" s="277">
        <v>0.18</v>
      </c>
      <c r="N14" s="278">
        <v>100</v>
      </c>
      <c r="O14" s="210"/>
    </row>
    <row r="15" spans="1:18" hidden="1" x14ac:dyDescent="0.2">
      <c r="B15" s="288" t="s">
        <v>85</v>
      </c>
      <c r="C15" s="290">
        <f>1/1200</f>
        <v>8.3333333333333339E-4</v>
      </c>
      <c r="D15" s="213"/>
      <c r="E15" s="309" t="s">
        <v>78</v>
      </c>
      <c r="F15" s="300" t="s">
        <v>78</v>
      </c>
      <c r="G15" s="301" t="s">
        <v>78</v>
      </c>
      <c r="H15" s="298"/>
      <c r="I15" s="210"/>
      <c r="J15" s="293"/>
      <c r="K15" s="287" t="str">
        <f>B12&amp;M9</f>
        <v>FT_BE_09Emp Only</v>
      </c>
      <c r="L15" s="294">
        <f>N9</f>
        <v>780.24</v>
      </c>
      <c r="M15" s="277">
        <v>0.18</v>
      </c>
      <c r="N15" s="278">
        <v>100</v>
      </c>
      <c r="O15" s="210"/>
    </row>
    <row r="16" spans="1:18" hidden="1" x14ac:dyDescent="0.2">
      <c r="B16" s="291" t="s">
        <v>87</v>
      </c>
      <c r="C16" s="293">
        <v>1</v>
      </c>
      <c r="D16" s="213"/>
      <c r="E16" s="310" t="s">
        <v>79</v>
      </c>
      <c r="F16" s="302" t="s">
        <v>79</v>
      </c>
      <c r="G16" s="303" t="s">
        <v>79</v>
      </c>
      <c r="H16" s="304"/>
      <c r="I16" s="29"/>
      <c r="J16" s="311"/>
      <c r="K16" s="283" t="str">
        <f>B13&amp;M6</f>
        <v>FT_BE_12Emp/Family</v>
      </c>
      <c r="L16" s="295">
        <f>N6</f>
        <v>1453.34</v>
      </c>
      <c r="M16" s="281">
        <v>0.18</v>
      </c>
      <c r="N16" s="282">
        <v>100</v>
      </c>
      <c r="O16" s="210"/>
    </row>
    <row r="17" spans="2:15" ht="13.5" hidden="1" thickBot="1" x14ac:dyDescent="0.25">
      <c r="B17" s="215" t="s">
        <v>86</v>
      </c>
      <c r="C17" s="216">
        <v>0</v>
      </c>
      <c r="D17" s="213"/>
      <c r="E17" s="287" t="s">
        <v>89</v>
      </c>
      <c r="F17" s="300" t="s">
        <v>89</v>
      </c>
      <c r="G17" s="301" t="s">
        <v>80</v>
      </c>
      <c r="H17" s="298"/>
      <c r="I17" s="210"/>
      <c r="J17" s="293"/>
      <c r="K17" s="283" t="str">
        <f>B13&amp;M7</f>
        <v>FT_BE_12Emp/Child</v>
      </c>
      <c r="L17" s="295">
        <f t="shared" ref="L17:L19" si="0">N7</f>
        <v>1041.9000000000001</v>
      </c>
      <c r="M17" s="281">
        <v>0.18</v>
      </c>
      <c r="N17" s="282">
        <v>100</v>
      </c>
      <c r="O17" s="210"/>
    </row>
    <row r="18" spans="2:15" ht="13.5" hidden="1" thickBot="1" x14ac:dyDescent="0.25">
      <c r="B18" s="210"/>
      <c r="C18" s="210"/>
      <c r="D18" s="210"/>
      <c r="E18" s="312"/>
      <c r="F18" s="313"/>
      <c r="G18" s="314" t="s">
        <v>89</v>
      </c>
      <c r="H18" s="315"/>
      <c r="I18" s="217"/>
      <c r="J18" s="316"/>
      <c r="K18" s="283" t="str">
        <f>B13&amp;M8</f>
        <v>FT_BE_12Emp/Spouse</v>
      </c>
      <c r="L18" s="295">
        <f t="shared" si="0"/>
        <v>1189.2</v>
      </c>
      <c r="M18" s="281">
        <v>0.18</v>
      </c>
      <c r="N18" s="282">
        <v>100</v>
      </c>
      <c r="O18" s="210"/>
    </row>
    <row r="19" spans="2:15" hidden="1" x14ac:dyDescent="0.2">
      <c r="B19" s="210"/>
      <c r="C19" s="210"/>
      <c r="D19" s="210"/>
      <c r="E19" s="210"/>
      <c r="F19" s="210"/>
      <c r="G19" s="210"/>
      <c r="H19" s="210"/>
      <c r="I19" s="210"/>
      <c r="J19" s="210"/>
      <c r="K19" s="283" t="str">
        <f>B13&amp;M9</f>
        <v>FT_BE_12Emp Only</v>
      </c>
      <c r="L19" s="295">
        <f t="shared" si="0"/>
        <v>780.24</v>
      </c>
      <c r="M19" s="281">
        <v>0.18</v>
      </c>
      <c r="N19" s="282">
        <v>100</v>
      </c>
      <c r="O19" s="210"/>
    </row>
    <row r="20" spans="2:15" hidden="1" x14ac:dyDescent="0.2">
      <c r="B20" s="210"/>
      <c r="C20" s="210"/>
      <c r="D20" s="210"/>
      <c r="E20" s="210"/>
      <c r="F20" s="210"/>
      <c r="G20" s="210"/>
      <c r="H20" s="210"/>
      <c r="I20" s="210"/>
      <c r="J20" s="210"/>
      <c r="K20" s="283" t="str">
        <f>B13&amp;F17</f>
        <v>FT_BE_12None</v>
      </c>
      <c r="L20" s="295">
        <v>0</v>
      </c>
      <c r="M20" s="281">
        <v>0.18</v>
      </c>
      <c r="N20" s="282">
        <v>0</v>
      </c>
      <c r="O20" s="210"/>
    </row>
    <row r="21" spans="2:15" hidden="1" x14ac:dyDescent="0.2">
      <c r="B21" s="210"/>
      <c r="C21" s="210"/>
      <c r="D21" s="210"/>
      <c r="E21" s="210"/>
      <c r="F21" s="210"/>
      <c r="G21" s="210"/>
      <c r="H21" s="210"/>
      <c r="I21" s="210"/>
      <c r="J21" s="210"/>
      <c r="K21" s="284" t="str">
        <f>B14&amp;M6</f>
        <v>PT_BE_12Emp/Family</v>
      </c>
      <c r="L21" s="296">
        <f>N6</f>
        <v>1453.34</v>
      </c>
      <c r="M21" s="285">
        <v>0.18</v>
      </c>
      <c r="N21" s="286">
        <v>50</v>
      </c>
      <c r="O21" s="210"/>
    </row>
    <row r="22" spans="2:15" hidden="1" x14ac:dyDescent="0.2">
      <c r="B22" s="210"/>
      <c r="C22" s="210"/>
      <c r="D22" s="210"/>
      <c r="E22" s="210"/>
      <c r="F22" s="210"/>
      <c r="G22" s="210"/>
      <c r="H22" s="210"/>
      <c r="I22" s="210"/>
      <c r="J22" s="210"/>
      <c r="K22" s="284" t="str">
        <f>B14&amp;M7</f>
        <v>PT_BE_12Emp/Child</v>
      </c>
      <c r="L22" s="296">
        <f t="shared" ref="L22:L24" si="1">N7</f>
        <v>1041.9000000000001</v>
      </c>
      <c r="M22" s="285">
        <v>0.18</v>
      </c>
      <c r="N22" s="286">
        <v>50</v>
      </c>
      <c r="O22" s="210"/>
    </row>
    <row r="23" spans="2:15" hidden="1" x14ac:dyDescent="0.2">
      <c r="B23" s="210"/>
      <c r="C23" s="210"/>
      <c r="D23" s="210"/>
      <c r="E23" s="210"/>
      <c r="F23" s="210"/>
      <c r="G23" s="210"/>
      <c r="H23" s="210"/>
      <c r="I23" s="210"/>
      <c r="J23" s="210"/>
      <c r="K23" s="284" t="str">
        <f>B14&amp;M8</f>
        <v>PT_BE_12Emp/Spouse</v>
      </c>
      <c r="L23" s="296">
        <f t="shared" si="1"/>
        <v>1189.2</v>
      </c>
      <c r="M23" s="285">
        <v>0.18</v>
      </c>
      <c r="N23" s="286">
        <v>50</v>
      </c>
      <c r="O23" s="210"/>
    </row>
    <row r="24" spans="2:15" hidden="1" x14ac:dyDescent="0.2">
      <c r="B24" s="210"/>
      <c r="C24" s="210"/>
      <c r="D24" s="210"/>
      <c r="E24" s="210"/>
      <c r="F24" s="210"/>
      <c r="G24" s="210"/>
      <c r="H24" s="210"/>
      <c r="I24" s="210"/>
      <c r="J24" s="210"/>
      <c r="K24" s="284" t="str">
        <f>B14&amp;M9</f>
        <v>PT_BE_12Emp Only</v>
      </c>
      <c r="L24" s="296">
        <f t="shared" si="1"/>
        <v>780.24</v>
      </c>
      <c r="M24" s="285">
        <v>0.18</v>
      </c>
      <c r="N24" s="286">
        <v>50</v>
      </c>
      <c r="O24" s="210"/>
    </row>
    <row r="25" spans="2:15" hidden="1" x14ac:dyDescent="0.2">
      <c r="B25" s="210"/>
      <c r="C25" s="210"/>
      <c r="D25" s="210"/>
      <c r="E25" s="210"/>
      <c r="F25" s="210"/>
      <c r="G25" s="210"/>
      <c r="H25" s="210"/>
      <c r="I25" s="210"/>
      <c r="J25" s="210"/>
      <c r="K25" s="284" t="str">
        <f>B14&amp;G17</f>
        <v>PT_BE_12Grad Res Asst</v>
      </c>
      <c r="L25" s="296">
        <f>O10</f>
        <v>746.09</v>
      </c>
      <c r="M25" s="285">
        <v>0.08</v>
      </c>
      <c r="N25" s="286">
        <v>100</v>
      </c>
      <c r="O25" s="210"/>
    </row>
    <row r="26" spans="2:15" hidden="1" x14ac:dyDescent="0.2">
      <c r="B26" s="210"/>
      <c r="C26" s="210"/>
      <c r="D26" s="210"/>
      <c r="E26" s="210"/>
      <c r="F26" s="210"/>
      <c r="G26" s="210"/>
      <c r="H26" s="210"/>
      <c r="I26" s="210"/>
      <c r="J26" s="210"/>
      <c r="K26" s="284" t="str">
        <f>B14&amp;G18</f>
        <v>PT_BE_12None</v>
      </c>
      <c r="L26" s="296">
        <v>0</v>
      </c>
      <c r="M26" s="285">
        <v>0.08</v>
      </c>
      <c r="N26" s="286">
        <v>0</v>
      </c>
      <c r="O26" s="210"/>
    </row>
    <row r="27" spans="2:15" hidden="1" x14ac:dyDescent="0.2">
      <c r="B27" s="210"/>
      <c r="C27" s="210"/>
      <c r="D27" s="210"/>
      <c r="E27" s="210"/>
      <c r="F27" s="210"/>
      <c r="G27" s="210"/>
      <c r="H27" s="210"/>
      <c r="I27" s="210"/>
      <c r="J27" s="210"/>
      <c r="K27" s="284" t="str">
        <f>B14&amp;G12</f>
        <v>PT_BE_12Select One</v>
      </c>
      <c r="L27" s="297">
        <v>0</v>
      </c>
      <c r="M27" s="285">
        <v>0</v>
      </c>
      <c r="N27" s="286">
        <v>0</v>
      </c>
      <c r="O27" s="210"/>
    </row>
    <row r="28" spans="2:15" hidden="1" x14ac:dyDescent="0.2">
      <c r="B28" s="210"/>
      <c r="C28" s="210"/>
      <c r="D28" s="210"/>
      <c r="E28" s="210"/>
      <c r="F28" s="210"/>
      <c r="G28" s="210"/>
      <c r="H28" s="210"/>
      <c r="I28" s="210"/>
      <c r="J28" s="210"/>
      <c r="K28" s="288" t="str">
        <f>B15&amp;H13</f>
        <v>PT_NB_12None</v>
      </c>
      <c r="L28" s="298">
        <v>0</v>
      </c>
      <c r="M28" s="289">
        <v>0.08</v>
      </c>
      <c r="N28" s="290">
        <v>0</v>
      </c>
      <c r="O28" s="210"/>
    </row>
    <row r="29" spans="2:15" hidden="1" x14ac:dyDescent="0.2">
      <c r="B29" s="210"/>
      <c r="C29" s="210"/>
      <c r="D29" s="210"/>
      <c r="E29" s="210"/>
      <c r="F29" s="210"/>
      <c r="G29" s="210"/>
      <c r="H29" s="210"/>
      <c r="I29" s="210"/>
      <c r="J29" s="210"/>
      <c r="K29" s="291" t="str">
        <f>B16&amp;J13</f>
        <v>HourlyNone</v>
      </c>
      <c r="L29" s="299">
        <v>0</v>
      </c>
      <c r="M29" s="292">
        <v>0.08</v>
      </c>
      <c r="N29" s="293">
        <v>0</v>
      </c>
      <c r="O29" s="210"/>
    </row>
    <row r="30" spans="2:15" hidden="1" x14ac:dyDescent="0.2">
      <c r="B30" s="210"/>
      <c r="C30" s="210"/>
      <c r="D30" s="210"/>
      <c r="E30" s="210"/>
      <c r="F30" s="210"/>
      <c r="G30" s="210"/>
      <c r="H30" s="210"/>
      <c r="I30" s="210"/>
      <c r="J30" s="210"/>
      <c r="K30" s="287" t="str">
        <f>B12&amp;E12</f>
        <v>FT_BE_09Select One</v>
      </c>
      <c r="L30" s="276">
        <v>0</v>
      </c>
      <c r="M30" s="277">
        <v>0</v>
      </c>
      <c r="N30" s="278">
        <v>0</v>
      </c>
      <c r="O30" s="210"/>
    </row>
    <row r="31" spans="2:15" hidden="1" x14ac:dyDescent="0.2">
      <c r="B31" s="210"/>
      <c r="C31" s="210"/>
      <c r="D31" s="210"/>
      <c r="E31" s="210"/>
      <c r="F31" s="210"/>
      <c r="G31" s="210"/>
      <c r="H31" s="210"/>
      <c r="I31" s="210"/>
      <c r="J31" s="210"/>
      <c r="K31" s="283" t="str">
        <f>B13&amp;F12</f>
        <v>FT_BE_12Select One</v>
      </c>
      <c r="L31" s="280">
        <v>0</v>
      </c>
      <c r="M31" s="281">
        <v>0</v>
      </c>
      <c r="N31" s="282">
        <v>0</v>
      </c>
      <c r="O31" s="210"/>
    </row>
    <row r="32" spans="2:15" hidden="1" x14ac:dyDescent="0.2">
      <c r="B32" s="210"/>
      <c r="C32" s="210"/>
      <c r="D32" s="210"/>
      <c r="E32" s="210"/>
      <c r="F32" s="210"/>
      <c r="G32" s="210"/>
      <c r="H32" s="210"/>
      <c r="I32" s="210"/>
      <c r="J32" s="210"/>
      <c r="K32" s="287" t="str">
        <f>B12&amp;E17</f>
        <v>FT_BE_09None</v>
      </c>
      <c r="L32" s="276">
        <v>0</v>
      </c>
      <c r="M32" s="277">
        <v>0.18</v>
      </c>
      <c r="N32" s="278">
        <v>0</v>
      </c>
      <c r="O32" s="210"/>
    </row>
    <row r="33" spans="1:19" hidden="1" x14ac:dyDescent="0.2">
      <c r="B33" s="210"/>
      <c r="C33" s="210"/>
      <c r="D33" s="210"/>
      <c r="E33" s="210"/>
      <c r="F33" s="210"/>
      <c r="G33" s="210"/>
      <c r="H33" s="210"/>
      <c r="I33" s="210"/>
      <c r="J33" s="210"/>
      <c r="K33" s="288" t="str">
        <f>B15&amp;H12</f>
        <v>PT_NB_12Select One</v>
      </c>
      <c r="L33" s="298">
        <v>0</v>
      </c>
      <c r="M33" s="289">
        <v>0</v>
      </c>
      <c r="N33" s="290">
        <v>0</v>
      </c>
      <c r="O33" s="210"/>
    </row>
    <row r="34" spans="1:19" hidden="1" x14ac:dyDescent="0.2">
      <c r="B34" s="210"/>
      <c r="C34" s="210"/>
      <c r="D34" s="210"/>
      <c r="E34" s="210"/>
      <c r="F34" s="210"/>
      <c r="G34" s="210"/>
      <c r="H34" s="210"/>
      <c r="I34" s="210"/>
      <c r="J34" s="210"/>
      <c r="K34" s="291" t="str">
        <f>B16&amp;J12</f>
        <v>HourlySelect One</v>
      </c>
      <c r="L34" s="299">
        <v>0</v>
      </c>
      <c r="M34" s="292">
        <v>0</v>
      </c>
      <c r="N34" s="293">
        <v>0</v>
      </c>
      <c r="O34" s="210"/>
    </row>
    <row r="35" spans="1:19" ht="13.5" hidden="1" thickBot="1" x14ac:dyDescent="0.25">
      <c r="B35" s="210"/>
      <c r="C35" s="210"/>
      <c r="D35" s="210"/>
      <c r="E35" s="210"/>
      <c r="F35" s="210"/>
      <c r="G35" s="210"/>
      <c r="H35" s="210"/>
      <c r="I35" s="210"/>
      <c r="J35" s="210"/>
      <c r="K35" s="215" t="str">
        <f>B17&amp;I12</f>
        <v>SelectSelect One</v>
      </c>
      <c r="L35" s="217"/>
      <c r="M35" s="317"/>
      <c r="N35" s="216"/>
      <c r="O35" s="210"/>
    </row>
    <row r="36" spans="1:19" ht="18" customHeight="1" thickBot="1" x14ac:dyDescent="0.25">
      <c r="A36" s="490"/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</row>
    <row r="37" spans="1:19" ht="13.5" customHeight="1" x14ac:dyDescent="0.2">
      <c r="A37" s="414" t="s">
        <v>90</v>
      </c>
      <c r="B37" s="494" t="s">
        <v>91</v>
      </c>
      <c r="C37" s="495"/>
      <c r="D37" s="495"/>
      <c r="E37" s="495"/>
      <c r="F37" s="495"/>
      <c r="G37" s="495"/>
      <c r="H37" s="495"/>
      <c r="I37" s="495"/>
      <c r="J37" s="495"/>
      <c r="K37" s="496" t="s">
        <v>92</v>
      </c>
      <c r="L37" s="497"/>
      <c r="M37" s="234">
        <f>SUM(M39:M65)</f>
        <v>0</v>
      </c>
      <c r="N37" s="234">
        <f>SUM(N39:N65)</f>
        <v>0</v>
      </c>
      <c r="O37" s="235">
        <f>SUM(O39:O65)</f>
        <v>0</v>
      </c>
    </row>
    <row r="38" spans="1:19" ht="49.9" customHeight="1" x14ac:dyDescent="0.2">
      <c r="A38" s="415"/>
      <c r="B38" s="491" t="s">
        <v>93</v>
      </c>
      <c r="C38" s="491"/>
      <c r="D38" s="34" t="s">
        <v>94</v>
      </c>
      <c r="E38" s="34" t="s">
        <v>95</v>
      </c>
      <c r="F38" s="140" t="s">
        <v>96</v>
      </c>
      <c r="G38" s="492" t="s">
        <v>97</v>
      </c>
      <c r="H38" s="493"/>
      <c r="I38" s="34" t="s">
        <v>98</v>
      </c>
      <c r="J38" s="34" t="s">
        <v>99</v>
      </c>
      <c r="K38" s="34" t="s">
        <v>100</v>
      </c>
      <c r="L38" s="34" t="s">
        <v>101</v>
      </c>
      <c r="M38" s="34" t="s">
        <v>205</v>
      </c>
      <c r="N38" s="34" t="s">
        <v>206</v>
      </c>
      <c r="O38" s="141" t="s">
        <v>104</v>
      </c>
      <c r="P38" s="142"/>
      <c r="S38" s="5"/>
    </row>
    <row r="39" spans="1:19" ht="13.5" customHeight="1" x14ac:dyDescent="0.2">
      <c r="A39" s="415"/>
      <c r="B39" s="383" t="str">
        <f>IF('Per6'!B39&lt;&gt;"",'Per6'!B39,"")</f>
        <v/>
      </c>
      <c r="C39" s="383"/>
      <c r="D39" s="60" t="str">
        <f>IF('Per6'!D39&lt;&gt;"",'Per6'!D39,"")</f>
        <v/>
      </c>
      <c r="E39" s="143" t="str">
        <f>'Per1'!E39</f>
        <v>Select</v>
      </c>
      <c r="F39" s="144" t="str">
        <f>'Per1'!F39</f>
        <v>Select One</v>
      </c>
      <c r="G39" s="481">
        <f>IF(E39="Hourly",ROUND('Per6'!G39*1.03,2),ROUND('Per6'!G39*1.03,0))</f>
        <v>0</v>
      </c>
      <c r="H39" s="482"/>
      <c r="I39" s="6"/>
      <c r="J39" s="27"/>
      <c r="K39" s="209">
        <f>IF(E39="Hourly",I39*J39/173.33,I39*J39/100)</f>
        <v>0</v>
      </c>
      <c r="L39" s="7" t="str">
        <f t="shared" ref="L39:L65" si="2">IF(M39&lt;&gt;0,SUM(N39/M39),"-")</f>
        <v>-</v>
      </c>
      <c r="M39" s="19">
        <f t="shared" ref="M39:M65" si="3">ROUND((G39*I39*J39*VLOOKUP(E39,$B$12:$C$17,2,FALSE)),0)</f>
        <v>0</v>
      </c>
      <c r="N39" s="19">
        <f t="shared" ref="N39:N65" si="4">ROUND(M39*VLOOKUP(E39&amp;F39,$K$12:$N$35,3,FALSE)+VLOOKUP(E39&amp;F39,$K$12:$N$35,2,FALSE)*MIN(J39,VLOOKUP(E39&amp;F39,$K$12:$N$35,4,FALSE))*I39/100,0)</f>
        <v>0</v>
      </c>
      <c r="O39" s="20">
        <f t="shared" ref="O39:O65" si="5">M39+N39</f>
        <v>0</v>
      </c>
      <c r="P39" s="145"/>
      <c r="Q39" s="14" t="s">
        <v>105</v>
      </c>
      <c r="S39" s="133"/>
    </row>
    <row r="40" spans="1:19" ht="13.5" customHeight="1" x14ac:dyDescent="0.2">
      <c r="A40" s="415"/>
      <c r="B40" s="383" t="str">
        <f>IF('Per6'!B40&lt;&gt;"",'Per6'!B40,"")</f>
        <v/>
      </c>
      <c r="C40" s="383"/>
      <c r="D40" s="60" t="str">
        <f>IF('Per6'!D40&lt;&gt;"",'Per6'!D40,"")</f>
        <v/>
      </c>
      <c r="E40" s="143" t="str">
        <f>'Per1'!E40</f>
        <v>Select</v>
      </c>
      <c r="F40" s="144" t="str">
        <f>'Per1'!F40</f>
        <v>Select One</v>
      </c>
      <c r="G40" s="481">
        <f>IF(E40="Hourly",ROUND('Per6'!G40*1.03,2),ROUND('Per6'!G40*1.03,0))</f>
        <v>0</v>
      </c>
      <c r="H40" s="482"/>
      <c r="I40" s="6"/>
      <c r="J40" s="27"/>
      <c r="K40" s="209">
        <f t="shared" ref="K40:K65" si="6">IF(E40="Hourly",I40*J40/173.33,I40*J40/100)</f>
        <v>0</v>
      </c>
      <c r="L40" s="7" t="str">
        <f t="shared" si="2"/>
        <v>-</v>
      </c>
      <c r="M40" s="19">
        <f t="shared" si="3"/>
        <v>0</v>
      </c>
      <c r="N40" s="19">
        <f t="shared" si="4"/>
        <v>0</v>
      </c>
      <c r="O40" s="8">
        <f t="shared" si="5"/>
        <v>0</v>
      </c>
      <c r="P40" s="30"/>
      <c r="Q40" s="14" t="s">
        <v>106</v>
      </c>
      <c r="S40" s="133"/>
    </row>
    <row r="41" spans="1:19" ht="13.5" customHeight="1" x14ac:dyDescent="0.2">
      <c r="A41" s="415"/>
      <c r="B41" s="383" t="str">
        <f>IF('Per6'!B41&lt;&gt;"",'Per6'!B41,"")</f>
        <v/>
      </c>
      <c r="C41" s="383"/>
      <c r="D41" s="60" t="str">
        <f>IF('Per6'!D41&lt;&gt;"",'Per6'!D41,"")</f>
        <v/>
      </c>
      <c r="E41" s="143" t="str">
        <f>'Per1'!E41</f>
        <v>Select</v>
      </c>
      <c r="F41" s="144" t="str">
        <f>'Per1'!F41</f>
        <v>Select One</v>
      </c>
      <c r="G41" s="481">
        <f>IF(E41="Hourly",ROUND('Per6'!G41*1.03,2),ROUND('Per6'!G41*1.03,0))</f>
        <v>0</v>
      </c>
      <c r="H41" s="482"/>
      <c r="I41" s="6"/>
      <c r="J41" s="27"/>
      <c r="K41" s="209">
        <f t="shared" si="6"/>
        <v>0</v>
      </c>
      <c r="L41" s="7" t="str">
        <f t="shared" si="2"/>
        <v>-</v>
      </c>
      <c r="M41" s="19">
        <f t="shared" si="3"/>
        <v>0</v>
      </c>
      <c r="N41" s="19">
        <f t="shared" si="4"/>
        <v>0</v>
      </c>
      <c r="O41" s="8">
        <f t="shared" si="5"/>
        <v>0</v>
      </c>
      <c r="P41" s="30"/>
      <c r="Q41" s="14" t="s">
        <v>107</v>
      </c>
      <c r="S41" s="133"/>
    </row>
    <row r="42" spans="1:19" ht="13.5" customHeight="1" x14ac:dyDescent="0.2">
      <c r="A42" s="415"/>
      <c r="B42" s="383" t="str">
        <f>IF('Per6'!B42&lt;&gt;"",'Per6'!B42,"")</f>
        <v/>
      </c>
      <c r="C42" s="383"/>
      <c r="D42" s="60" t="str">
        <f>IF('Per6'!D42&lt;&gt;"",'Per6'!D42,"")</f>
        <v/>
      </c>
      <c r="E42" s="143" t="str">
        <f>'Per1'!E42</f>
        <v>Select</v>
      </c>
      <c r="F42" s="144" t="str">
        <f>'Per1'!F42</f>
        <v>Select One</v>
      </c>
      <c r="G42" s="481">
        <f>IF(E42="Hourly",ROUND('Per6'!G42*1.03,2),ROUND('Per6'!G42*1.03,0))</f>
        <v>0</v>
      </c>
      <c r="H42" s="482"/>
      <c r="I42" s="6"/>
      <c r="J42" s="27"/>
      <c r="K42" s="209">
        <f t="shared" si="6"/>
        <v>0</v>
      </c>
      <c r="L42" s="7" t="str">
        <f t="shared" si="2"/>
        <v>-</v>
      </c>
      <c r="M42" s="19">
        <f t="shared" si="3"/>
        <v>0</v>
      </c>
      <c r="N42" s="19">
        <f t="shared" si="4"/>
        <v>0</v>
      </c>
      <c r="O42" s="8">
        <f t="shared" si="5"/>
        <v>0</v>
      </c>
      <c r="P42" s="30"/>
      <c r="Q42" s="14" t="s">
        <v>108</v>
      </c>
      <c r="S42" s="133"/>
    </row>
    <row r="43" spans="1:19" ht="13.5" customHeight="1" x14ac:dyDescent="0.2">
      <c r="A43" s="415"/>
      <c r="B43" s="383" t="str">
        <f>IF('Per6'!B43&lt;&gt;"",'Per6'!B43,"")</f>
        <v/>
      </c>
      <c r="C43" s="383"/>
      <c r="D43" s="60" t="str">
        <f>IF('Per6'!D43&lt;&gt;"",'Per6'!D43,"")</f>
        <v/>
      </c>
      <c r="E43" s="143" t="str">
        <f>'Per1'!E43</f>
        <v>Select</v>
      </c>
      <c r="F43" s="144" t="str">
        <f>'Per1'!F43</f>
        <v>Select One</v>
      </c>
      <c r="G43" s="481">
        <f>IF(E43="Hourly",ROUND('Per6'!G43*1.03,2),ROUND('Per6'!G43*1.03,0))</f>
        <v>0</v>
      </c>
      <c r="H43" s="482"/>
      <c r="I43" s="6"/>
      <c r="J43" s="27"/>
      <c r="K43" s="209">
        <f t="shared" si="6"/>
        <v>0</v>
      </c>
      <c r="L43" s="7" t="str">
        <f t="shared" si="2"/>
        <v>-</v>
      </c>
      <c r="M43" s="19">
        <f t="shared" si="3"/>
        <v>0</v>
      </c>
      <c r="N43" s="19">
        <f t="shared" si="4"/>
        <v>0</v>
      </c>
      <c r="O43" s="8">
        <f t="shared" si="5"/>
        <v>0</v>
      </c>
      <c r="P43" s="30"/>
      <c r="Q43" s="14" t="s">
        <v>109</v>
      </c>
      <c r="S43" s="133"/>
    </row>
    <row r="44" spans="1:19" ht="13.5" customHeight="1" x14ac:dyDescent="0.2">
      <c r="A44" s="415"/>
      <c r="B44" s="383" t="str">
        <f>IF('Per6'!B44&lt;&gt;"",'Per6'!B44,"")</f>
        <v/>
      </c>
      <c r="C44" s="383"/>
      <c r="D44" s="60" t="str">
        <f>IF('Per6'!D44&lt;&gt;"",'Per6'!D44,"")</f>
        <v/>
      </c>
      <c r="E44" s="143" t="str">
        <f>'Per1'!E44</f>
        <v>Select</v>
      </c>
      <c r="F44" s="144" t="str">
        <f>'Per1'!F44</f>
        <v>Select One</v>
      </c>
      <c r="G44" s="481">
        <f>IF(E44="Hourly",ROUND('Per6'!G44*1.03,2),ROUND('Per6'!G44*1.03,0))</f>
        <v>0</v>
      </c>
      <c r="H44" s="482"/>
      <c r="I44" s="6"/>
      <c r="J44" s="27"/>
      <c r="K44" s="209">
        <f t="shared" si="6"/>
        <v>0</v>
      </c>
      <c r="L44" s="7" t="str">
        <f t="shared" si="2"/>
        <v>-</v>
      </c>
      <c r="M44" s="19">
        <f t="shared" si="3"/>
        <v>0</v>
      </c>
      <c r="N44" s="19">
        <f t="shared" si="4"/>
        <v>0</v>
      </c>
      <c r="O44" s="8">
        <f t="shared" si="5"/>
        <v>0</v>
      </c>
      <c r="P44" s="30"/>
      <c r="Q44" s="14" t="s">
        <v>110</v>
      </c>
      <c r="S44" s="146"/>
    </row>
    <row r="45" spans="1:19" ht="13.5" customHeight="1" x14ac:dyDescent="0.2">
      <c r="A45" s="415"/>
      <c r="B45" s="383" t="str">
        <f>IF('Per6'!B45&lt;&gt;"",'Per6'!B45,"")</f>
        <v/>
      </c>
      <c r="C45" s="383"/>
      <c r="D45" s="60" t="str">
        <f>IF('Per6'!D45&lt;&gt;"",'Per6'!D45,"")</f>
        <v/>
      </c>
      <c r="E45" s="143" t="str">
        <f>'Per1'!E45</f>
        <v>Select</v>
      </c>
      <c r="F45" s="144" t="str">
        <f>'Per1'!F45</f>
        <v>Select One</v>
      </c>
      <c r="G45" s="481">
        <f>IF(E45="Hourly",ROUND('Per6'!G45*1.03,2),ROUND('Per6'!G45*1.03,0))</f>
        <v>0</v>
      </c>
      <c r="H45" s="482"/>
      <c r="I45" s="6"/>
      <c r="J45" s="27"/>
      <c r="K45" s="209">
        <f t="shared" si="6"/>
        <v>0</v>
      </c>
      <c r="L45" s="7" t="str">
        <f t="shared" si="2"/>
        <v>-</v>
      </c>
      <c r="M45" s="19">
        <f t="shared" si="3"/>
        <v>0</v>
      </c>
      <c r="N45" s="19">
        <f t="shared" si="4"/>
        <v>0</v>
      </c>
      <c r="O45" s="8">
        <f t="shared" si="5"/>
        <v>0</v>
      </c>
      <c r="P45" s="30"/>
      <c r="Q45" s="14"/>
      <c r="S45" s="146"/>
    </row>
    <row r="46" spans="1:19" ht="13.5" customHeight="1" x14ac:dyDescent="0.2">
      <c r="A46" s="415"/>
      <c r="B46" s="383" t="str">
        <f>IF('Per6'!B46&lt;&gt;"",'Per6'!B46,"")</f>
        <v/>
      </c>
      <c r="C46" s="383"/>
      <c r="D46" s="60" t="str">
        <f>IF('Per6'!D46&lt;&gt;"",'Per6'!D46,"")</f>
        <v/>
      </c>
      <c r="E46" s="143" t="str">
        <f>'Per1'!E46</f>
        <v>Select</v>
      </c>
      <c r="F46" s="144" t="str">
        <f>'Per1'!F46</f>
        <v>Select One</v>
      </c>
      <c r="G46" s="481">
        <f>IF(E46="Hourly",ROUND('Per6'!G46*1.03,2),ROUND('Per6'!G46*1.03,0))</f>
        <v>0</v>
      </c>
      <c r="H46" s="482"/>
      <c r="I46" s="6"/>
      <c r="J46" s="27"/>
      <c r="K46" s="209">
        <f t="shared" si="6"/>
        <v>0</v>
      </c>
      <c r="L46" s="7" t="str">
        <f t="shared" si="2"/>
        <v>-</v>
      </c>
      <c r="M46" s="19">
        <f t="shared" si="3"/>
        <v>0</v>
      </c>
      <c r="N46" s="19">
        <f t="shared" si="4"/>
        <v>0</v>
      </c>
      <c r="O46" s="8">
        <f t="shared" si="5"/>
        <v>0</v>
      </c>
      <c r="P46" s="30"/>
      <c r="Q46" s="14"/>
      <c r="S46" s="146"/>
    </row>
    <row r="47" spans="1:19" ht="13.5" customHeight="1" x14ac:dyDescent="0.2">
      <c r="A47" s="415"/>
      <c r="B47" s="383" t="str">
        <f>IF('Per6'!B47&lt;&gt;"",'Per6'!B47,"")</f>
        <v/>
      </c>
      <c r="C47" s="383"/>
      <c r="D47" s="60" t="str">
        <f>IF('Per6'!D47&lt;&gt;"",'Per6'!D47,"")</f>
        <v/>
      </c>
      <c r="E47" s="143" t="str">
        <f>'Per1'!E47</f>
        <v>Select</v>
      </c>
      <c r="F47" s="144" t="str">
        <f>'Per1'!F47</f>
        <v>Select One</v>
      </c>
      <c r="G47" s="481">
        <f>IF(E47="Hourly",ROUND('Per6'!G47*1.03,2),ROUND('Per6'!G47*1.03,0))</f>
        <v>0</v>
      </c>
      <c r="H47" s="482"/>
      <c r="I47" s="6"/>
      <c r="J47" s="27"/>
      <c r="K47" s="209">
        <f t="shared" si="6"/>
        <v>0</v>
      </c>
      <c r="L47" s="7" t="str">
        <f t="shared" si="2"/>
        <v>-</v>
      </c>
      <c r="M47" s="19">
        <f t="shared" si="3"/>
        <v>0</v>
      </c>
      <c r="N47" s="19">
        <f t="shared" si="4"/>
        <v>0</v>
      </c>
      <c r="O47" s="8">
        <f t="shared" si="5"/>
        <v>0</v>
      </c>
      <c r="P47" s="30"/>
      <c r="Q47" s="14"/>
      <c r="S47" s="146"/>
    </row>
    <row r="48" spans="1:19" ht="13.5" customHeight="1" thickBot="1" x14ac:dyDescent="0.25">
      <c r="A48" s="415"/>
      <c r="B48" s="383" t="str">
        <f>IF('Per6'!B48&lt;&gt;"",'Per6'!B48,"")</f>
        <v/>
      </c>
      <c r="C48" s="383"/>
      <c r="D48" s="60" t="str">
        <f>IF('Per6'!D48&lt;&gt;"",'Per6'!D48,"")</f>
        <v/>
      </c>
      <c r="E48" s="143" t="str">
        <f>'Per1'!E48</f>
        <v>Select</v>
      </c>
      <c r="F48" s="144" t="str">
        <f>'Per1'!F48</f>
        <v>Select One</v>
      </c>
      <c r="G48" s="481">
        <f>IF(E48="Hourly",ROUND('Per6'!G48*1.03,2),ROUND('Per6'!G48*1.03,0))</f>
        <v>0</v>
      </c>
      <c r="H48" s="482"/>
      <c r="I48" s="6"/>
      <c r="J48" s="27"/>
      <c r="K48" s="209">
        <f t="shared" si="6"/>
        <v>0</v>
      </c>
      <c r="L48" s="7" t="str">
        <f t="shared" si="2"/>
        <v>-</v>
      </c>
      <c r="M48" s="19">
        <f t="shared" si="3"/>
        <v>0</v>
      </c>
      <c r="N48" s="19">
        <f t="shared" si="4"/>
        <v>0</v>
      </c>
      <c r="O48" s="8">
        <f t="shared" si="5"/>
        <v>0</v>
      </c>
      <c r="P48" s="30"/>
      <c r="Q48" s="14"/>
      <c r="S48" s="146"/>
    </row>
    <row r="49" spans="1:19" ht="13.5" hidden="1" customHeight="1" x14ac:dyDescent="0.2">
      <c r="A49" s="415"/>
      <c r="B49" s="383" t="str">
        <f>IF('Per6'!B49&lt;&gt;"",'Per6'!B49,"")</f>
        <v/>
      </c>
      <c r="C49" s="383"/>
      <c r="D49" s="60" t="str">
        <f>IF('Per6'!D49&lt;&gt;"",'Per6'!D49,"")</f>
        <v/>
      </c>
      <c r="E49" s="143" t="str">
        <f>'Per1'!E49</f>
        <v>Select</v>
      </c>
      <c r="F49" s="144" t="str">
        <f>'Per1'!F49</f>
        <v>Select One</v>
      </c>
      <c r="G49" s="481">
        <f>IF(E49="Hourly",ROUND('Per6'!G49*1.03,2),ROUND('Per6'!G49*1.03,0))</f>
        <v>0</v>
      </c>
      <c r="H49" s="482"/>
      <c r="I49" s="6"/>
      <c r="J49" s="27"/>
      <c r="K49" s="209">
        <f t="shared" si="6"/>
        <v>0</v>
      </c>
      <c r="L49" s="7" t="str">
        <f t="shared" si="2"/>
        <v>-</v>
      </c>
      <c r="M49" s="19">
        <f t="shared" si="3"/>
        <v>0</v>
      </c>
      <c r="N49" s="19">
        <f t="shared" si="4"/>
        <v>0</v>
      </c>
      <c r="O49" s="8">
        <f t="shared" si="5"/>
        <v>0</v>
      </c>
      <c r="P49" s="30"/>
      <c r="Q49" s="224" t="s">
        <v>111</v>
      </c>
      <c r="S49" s="146"/>
    </row>
    <row r="50" spans="1:19" ht="13.5" hidden="1" customHeight="1" x14ac:dyDescent="0.2">
      <c r="A50" s="415"/>
      <c r="B50" s="383" t="str">
        <f>IF('Per6'!B50&lt;&gt;"",'Per6'!B50,"")</f>
        <v/>
      </c>
      <c r="C50" s="383"/>
      <c r="D50" s="60" t="str">
        <f>IF('Per6'!D50&lt;&gt;"",'Per6'!D50,"")</f>
        <v/>
      </c>
      <c r="E50" s="143" t="str">
        <f>'Per1'!E50</f>
        <v>Select</v>
      </c>
      <c r="F50" s="144" t="str">
        <f>'Per1'!F50</f>
        <v>Select One</v>
      </c>
      <c r="G50" s="481">
        <f>IF(E50="Hourly",ROUND('Per6'!G50*1.03,2),ROUND('Per6'!G50*1.03,0))</f>
        <v>0</v>
      </c>
      <c r="H50" s="482"/>
      <c r="I50" s="6"/>
      <c r="J50" s="27"/>
      <c r="K50" s="209">
        <f t="shared" si="6"/>
        <v>0</v>
      </c>
      <c r="L50" s="7" t="str">
        <f t="shared" si="2"/>
        <v>-</v>
      </c>
      <c r="M50" s="19">
        <f t="shared" si="3"/>
        <v>0</v>
      </c>
      <c r="N50" s="19">
        <f t="shared" si="4"/>
        <v>0</v>
      </c>
      <c r="O50" s="8">
        <f t="shared" si="5"/>
        <v>0</v>
      </c>
      <c r="P50" s="30"/>
      <c r="Q50" s="14"/>
      <c r="S50" s="146"/>
    </row>
    <row r="51" spans="1:19" ht="13.5" hidden="1" customHeight="1" x14ac:dyDescent="0.2">
      <c r="A51" s="415"/>
      <c r="B51" s="383" t="str">
        <f>IF('Per6'!B51&lt;&gt;"",'Per6'!B51,"")</f>
        <v/>
      </c>
      <c r="C51" s="383"/>
      <c r="D51" s="60" t="str">
        <f>IF('Per6'!D51&lt;&gt;"",'Per6'!D51,"")</f>
        <v/>
      </c>
      <c r="E51" s="143" t="str">
        <f>'Per1'!E51</f>
        <v>Select</v>
      </c>
      <c r="F51" s="144" t="str">
        <f>'Per1'!F51</f>
        <v>Select One</v>
      </c>
      <c r="G51" s="481">
        <f>IF(E51="Hourly",ROUND('Per6'!G51*1.03,2),ROUND('Per6'!G51*1.03,0))</f>
        <v>0</v>
      </c>
      <c r="H51" s="482"/>
      <c r="I51" s="6"/>
      <c r="J51" s="27"/>
      <c r="K51" s="209">
        <f t="shared" si="6"/>
        <v>0</v>
      </c>
      <c r="L51" s="7" t="str">
        <f t="shared" si="2"/>
        <v>-</v>
      </c>
      <c r="M51" s="19">
        <f t="shared" si="3"/>
        <v>0</v>
      </c>
      <c r="N51" s="19">
        <f t="shared" si="4"/>
        <v>0</v>
      </c>
      <c r="O51" s="8">
        <f t="shared" si="5"/>
        <v>0</v>
      </c>
      <c r="P51" s="30"/>
      <c r="Q51" s="14"/>
      <c r="S51" s="146"/>
    </row>
    <row r="52" spans="1:19" ht="13.5" hidden="1" customHeight="1" x14ac:dyDescent="0.2">
      <c r="A52" s="415"/>
      <c r="B52" s="383" t="str">
        <f>IF('Per6'!B52&lt;&gt;"",'Per6'!B52,"")</f>
        <v/>
      </c>
      <c r="C52" s="383"/>
      <c r="D52" s="60" t="str">
        <f>IF('Per6'!D52&lt;&gt;"",'Per6'!D52,"")</f>
        <v/>
      </c>
      <c r="E52" s="143" t="str">
        <f>'Per1'!E52</f>
        <v>Select</v>
      </c>
      <c r="F52" s="144" t="str">
        <f>'Per1'!F52</f>
        <v>Select One</v>
      </c>
      <c r="G52" s="481">
        <f>IF(E52="Hourly",ROUND('Per6'!G52*1.03,2),ROUND('Per6'!G52*1.03,0))</f>
        <v>0</v>
      </c>
      <c r="H52" s="482"/>
      <c r="I52" s="6"/>
      <c r="J52" s="27"/>
      <c r="K52" s="209">
        <f t="shared" si="6"/>
        <v>0</v>
      </c>
      <c r="L52" s="7" t="str">
        <f t="shared" si="2"/>
        <v>-</v>
      </c>
      <c r="M52" s="19">
        <f t="shared" si="3"/>
        <v>0</v>
      </c>
      <c r="N52" s="19">
        <f t="shared" si="4"/>
        <v>0</v>
      </c>
      <c r="O52" s="8">
        <f t="shared" si="5"/>
        <v>0</v>
      </c>
      <c r="P52" s="30"/>
      <c r="Q52" s="14"/>
      <c r="S52" s="146"/>
    </row>
    <row r="53" spans="1:19" ht="13.5" hidden="1" customHeight="1" x14ac:dyDescent="0.2">
      <c r="A53" s="415"/>
      <c r="B53" s="383" t="str">
        <f>IF('Per6'!B53&lt;&gt;"",'Per6'!B53,"")</f>
        <v/>
      </c>
      <c r="C53" s="383"/>
      <c r="D53" s="60" t="str">
        <f>IF('Per6'!D53&lt;&gt;"",'Per6'!D53,"")</f>
        <v/>
      </c>
      <c r="E53" s="143" t="str">
        <f>'Per1'!E53</f>
        <v>Select</v>
      </c>
      <c r="F53" s="144" t="str">
        <f>'Per1'!F53</f>
        <v>Select One</v>
      </c>
      <c r="G53" s="481">
        <f>IF(E53="Hourly",ROUND('Per6'!G53*1.03,2),ROUND('Per6'!G53*1.03,0))</f>
        <v>0</v>
      </c>
      <c r="H53" s="482"/>
      <c r="I53" s="6"/>
      <c r="J53" s="27"/>
      <c r="K53" s="209">
        <f t="shared" si="6"/>
        <v>0</v>
      </c>
      <c r="L53" s="7" t="str">
        <f t="shared" si="2"/>
        <v>-</v>
      </c>
      <c r="M53" s="19">
        <f t="shared" si="3"/>
        <v>0</v>
      </c>
      <c r="N53" s="19">
        <f t="shared" si="4"/>
        <v>0</v>
      </c>
      <c r="O53" s="8">
        <f t="shared" si="5"/>
        <v>0</v>
      </c>
      <c r="P53" s="30"/>
      <c r="Q53" s="14"/>
      <c r="S53" s="146"/>
    </row>
    <row r="54" spans="1:19" ht="13.5" hidden="1" customHeight="1" x14ac:dyDescent="0.2">
      <c r="A54" s="415"/>
      <c r="B54" s="383" t="str">
        <f>IF('Per6'!B54&lt;&gt;"",'Per6'!B54,"")</f>
        <v/>
      </c>
      <c r="C54" s="383"/>
      <c r="D54" s="60" t="str">
        <f>IF('Per6'!D54&lt;&gt;"",'Per6'!D54,"")</f>
        <v/>
      </c>
      <c r="E54" s="143" t="str">
        <f>'Per1'!E54</f>
        <v>Select</v>
      </c>
      <c r="F54" s="144" t="str">
        <f>'Per1'!F54</f>
        <v>Select One</v>
      </c>
      <c r="G54" s="481">
        <f>IF(E54="Hourly",ROUND('Per6'!G54*1.03,2),ROUND('Per6'!G54*1.03,0))</f>
        <v>0</v>
      </c>
      <c r="H54" s="482"/>
      <c r="I54" s="6"/>
      <c r="J54" s="27"/>
      <c r="K54" s="209">
        <f t="shared" si="6"/>
        <v>0</v>
      </c>
      <c r="L54" s="7" t="str">
        <f t="shared" si="2"/>
        <v>-</v>
      </c>
      <c r="M54" s="19">
        <f t="shared" si="3"/>
        <v>0</v>
      </c>
      <c r="N54" s="19">
        <f t="shared" si="4"/>
        <v>0</v>
      </c>
      <c r="O54" s="8">
        <f t="shared" si="5"/>
        <v>0</v>
      </c>
      <c r="P54" s="30"/>
      <c r="Q54" s="14"/>
      <c r="S54" s="146"/>
    </row>
    <row r="55" spans="1:19" ht="13.5" hidden="1" customHeight="1" x14ac:dyDescent="0.2">
      <c r="A55" s="415"/>
      <c r="B55" s="383" t="str">
        <f>IF('Per6'!B55&lt;&gt;"",'Per6'!B55,"")</f>
        <v/>
      </c>
      <c r="C55" s="383"/>
      <c r="D55" s="60" t="str">
        <f>IF('Per6'!D55&lt;&gt;"",'Per6'!D55,"")</f>
        <v/>
      </c>
      <c r="E55" s="143" t="str">
        <f>'Per1'!E55</f>
        <v>Select</v>
      </c>
      <c r="F55" s="144" t="str">
        <f>'Per1'!F55</f>
        <v>Select One</v>
      </c>
      <c r="G55" s="481">
        <f>IF(E55="Hourly",ROUND('Per6'!G55*1.03,2),ROUND('Per6'!G55*1.03,0))</f>
        <v>0</v>
      </c>
      <c r="H55" s="482"/>
      <c r="I55" s="6"/>
      <c r="J55" s="27"/>
      <c r="K55" s="209">
        <f t="shared" si="6"/>
        <v>0</v>
      </c>
      <c r="L55" s="7" t="str">
        <f t="shared" si="2"/>
        <v>-</v>
      </c>
      <c r="M55" s="19">
        <f t="shared" si="3"/>
        <v>0</v>
      </c>
      <c r="N55" s="19">
        <f t="shared" si="4"/>
        <v>0</v>
      </c>
      <c r="O55" s="8">
        <f t="shared" si="5"/>
        <v>0</v>
      </c>
      <c r="P55" s="30"/>
      <c r="Q55" s="14"/>
      <c r="S55" s="146"/>
    </row>
    <row r="56" spans="1:19" ht="13.5" hidden="1" customHeight="1" x14ac:dyDescent="0.2">
      <c r="A56" s="415"/>
      <c r="B56" s="383" t="str">
        <f>IF('Per6'!B56&lt;&gt;"",'Per6'!B56,"")</f>
        <v/>
      </c>
      <c r="C56" s="383"/>
      <c r="D56" s="60" t="str">
        <f>IF('Per6'!D56&lt;&gt;"",'Per6'!D56,"")</f>
        <v/>
      </c>
      <c r="E56" s="143" t="str">
        <f>'Per1'!E56</f>
        <v>Select</v>
      </c>
      <c r="F56" s="144" t="str">
        <f>'Per1'!F56</f>
        <v>Select One</v>
      </c>
      <c r="G56" s="481">
        <f>IF(E56="Hourly",ROUND('Per6'!G56*1.03,2),ROUND('Per6'!G56*1.03,0))</f>
        <v>0</v>
      </c>
      <c r="H56" s="482"/>
      <c r="I56" s="6"/>
      <c r="J56" s="27"/>
      <c r="K56" s="209">
        <f t="shared" si="6"/>
        <v>0</v>
      </c>
      <c r="L56" s="7" t="str">
        <f t="shared" si="2"/>
        <v>-</v>
      </c>
      <c r="M56" s="19">
        <f t="shared" si="3"/>
        <v>0</v>
      </c>
      <c r="N56" s="19">
        <f t="shared" si="4"/>
        <v>0</v>
      </c>
      <c r="O56" s="8">
        <f t="shared" si="5"/>
        <v>0</v>
      </c>
      <c r="P56" s="30"/>
      <c r="Q56" s="14"/>
      <c r="S56" s="146"/>
    </row>
    <row r="57" spans="1:19" ht="13.5" hidden="1" customHeight="1" x14ac:dyDescent="0.2">
      <c r="A57" s="415"/>
      <c r="B57" s="383" t="str">
        <f>IF('Per6'!B57&lt;&gt;"",'Per6'!B57,"")</f>
        <v/>
      </c>
      <c r="C57" s="383"/>
      <c r="D57" s="60" t="str">
        <f>IF('Per6'!D57&lt;&gt;"",'Per6'!D57,"")</f>
        <v/>
      </c>
      <c r="E57" s="143" t="str">
        <f>'Per1'!E57</f>
        <v>Select</v>
      </c>
      <c r="F57" s="144" t="str">
        <f>'Per1'!F57</f>
        <v>Select One</v>
      </c>
      <c r="G57" s="481">
        <f>IF(E57="Hourly",ROUND('Per6'!G57*1.03,2),ROUND('Per6'!G57*1.03,0))</f>
        <v>0</v>
      </c>
      <c r="H57" s="482"/>
      <c r="I57" s="6"/>
      <c r="J57" s="27"/>
      <c r="K57" s="209">
        <f t="shared" si="6"/>
        <v>0</v>
      </c>
      <c r="L57" s="7" t="str">
        <f t="shared" si="2"/>
        <v>-</v>
      </c>
      <c r="M57" s="19">
        <f t="shared" si="3"/>
        <v>0</v>
      </c>
      <c r="N57" s="19">
        <f t="shared" si="4"/>
        <v>0</v>
      </c>
      <c r="O57" s="8">
        <f t="shared" si="5"/>
        <v>0</v>
      </c>
      <c r="P57" s="30"/>
      <c r="Q57" s="14"/>
      <c r="S57" s="146"/>
    </row>
    <row r="58" spans="1:19" ht="13.5" hidden="1" customHeight="1" x14ac:dyDescent="0.2">
      <c r="A58" s="415"/>
      <c r="B58" s="383" t="str">
        <f>IF('Per6'!B58&lt;&gt;"",'Per6'!B58,"")</f>
        <v/>
      </c>
      <c r="C58" s="383"/>
      <c r="D58" s="60" t="str">
        <f>IF('Per6'!D58&lt;&gt;"",'Per6'!D58,"")</f>
        <v/>
      </c>
      <c r="E58" s="143" t="str">
        <f>'Per1'!E58</f>
        <v>Select</v>
      </c>
      <c r="F58" s="144" t="str">
        <f>'Per1'!F58</f>
        <v>Select One</v>
      </c>
      <c r="G58" s="481">
        <f>IF(E58="Hourly",ROUND('Per6'!G58*1.03,2),ROUND('Per6'!G58*1.03,0))</f>
        <v>0</v>
      </c>
      <c r="H58" s="482"/>
      <c r="I58" s="6"/>
      <c r="J58" s="27"/>
      <c r="K58" s="209">
        <f t="shared" si="6"/>
        <v>0</v>
      </c>
      <c r="L58" s="7" t="str">
        <f t="shared" si="2"/>
        <v>-</v>
      </c>
      <c r="M58" s="19">
        <f t="shared" si="3"/>
        <v>0</v>
      </c>
      <c r="N58" s="19">
        <f t="shared" si="4"/>
        <v>0</v>
      </c>
      <c r="O58" s="8">
        <f t="shared" si="5"/>
        <v>0</v>
      </c>
      <c r="P58" s="30"/>
      <c r="Q58" s="14"/>
      <c r="S58" s="146"/>
    </row>
    <row r="59" spans="1:19" ht="13.5" hidden="1" customHeight="1" x14ac:dyDescent="0.2">
      <c r="A59" s="415"/>
      <c r="B59" s="383" t="str">
        <f>IF('Per6'!B59&lt;&gt;"",'Per6'!B59,"")</f>
        <v/>
      </c>
      <c r="C59" s="383"/>
      <c r="D59" s="60" t="str">
        <f>IF('Per6'!D59&lt;&gt;"",'Per6'!D59,"")</f>
        <v/>
      </c>
      <c r="E59" s="143" t="str">
        <f>'Per1'!E59</f>
        <v>Select</v>
      </c>
      <c r="F59" s="144" t="str">
        <f>'Per1'!F59</f>
        <v>Select One</v>
      </c>
      <c r="G59" s="481">
        <f>IF(E59="Hourly",ROUND('Per6'!G59*1.03,2),ROUND('Per6'!G59*1.03,0))</f>
        <v>0</v>
      </c>
      <c r="H59" s="482"/>
      <c r="I59" s="6"/>
      <c r="J59" s="27"/>
      <c r="K59" s="209">
        <f t="shared" si="6"/>
        <v>0</v>
      </c>
      <c r="L59" s="7" t="str">
        <f t="shared" si="2"/>
        <v>-</v>
      </c>
      <c r="M59" s="19">
        <f t="shared" si="3"/>
        <v>0</v>
      </c>
      <c r="N59" s="19">
        <f t="shared" si="4"/>
        <v>0</v>
      </c>
      <c r="O59" s="8">
        <f t="shared" si="5"/>
        <v>0</v>
      </c>
      <c r="P59" s="30"/>
      <c r="Q59" s="14"/>
      <c r="S59" s="146"/>
    </row>
    <row r="60" spans="1:19" ht="13.5" hidden="1" customHeight="1" x14ac:dyDescent="0.2">
      <c r="A60" s="415"/>
      <c r="B60" s="383" t="str">
        <f>IF('Per6'!B60&lt;&gt;"",'Per6'!B60,"")</f>
        <v/>
      </c>
      <c r="C60" s="383"/>
      <c r="D60" s="60" t="str">
        <f>IF('Per6'!D60&lt;&gt;"",'Per6'!D60,"")</f>
        <v/>
      </c>
      <c r="E60" s="143" t="str">
        <f>'Per1'!E60</f>
        <v>Select</v>
      </c>
      <c r="F60" s="144" t="str">
        <f>'Per1'!F60</f>
        <v>Select One</v>
      </c>
      <c r="G60" s="481">
        <f>IF(E60="Hourly",ROUND('Per6'!G60*1.03,2),ROUND('Per6'!G60*1.03,0))</f>
        <v>0</v>
      </c>
      <c r="H60" s="482"/>
      <c r="I60" s="6"/>
      <c r="J60" s="27"/>
      <c r="K60" s="209">
        <f t="shared" si="6"/>
        <v>0</v>
      </c>
      <c r="L60" s="7" t="str">
        <f t="shared" si="2"/>
        <v>-</v>
      </c>
      <c r="M60" s="19">
        <f t="shared" si="3"/>
        <v>0</v>
      </c>
      <c r="N60" s="19">
        <f t="shared" si="4"/>
        <v>0</v>
      </c>
      <c r="O60" s="8">
        <f t="shared" si="5"/>
        <v>0</v>
      </c>
      <c r="P60" s="30"/>
      <c r="Q60" s="14"/>
      <c r="S60" s="146"/>
    </row>
    <row r="61" spans="1:19" ht="13.5" hidden="1" customHeight="1" x14ac:dyDescent="0.2">
      <c r="A61" s="415"/>
      <c r="B61" s="383" t="str">
        <f>IF('Per6'!B61&lt;&gt;"",'Per6'!B61,"")</f>
        <v/>
      </c>
      <c r="C61" s="383"/>
      <c r="D61" s="60" t="str">
        <f>IF('Per6'!D61&lt;&gt;"",'Per6'!D61,"")</f>
        <v/>
      </c>
      <c r="E61" s="143" t="str">
        <f>'Per1'!E61</f>
        <v>Select</v>
      </c>
      <c r="F61" s="144" t="str">
        <f>'Per1'!F61</f>
        <v>Select One</v>
      </c>
      <c r="G61" s="481">
        <f>IF(E61="Hourly",ROUND('Per6'!G61*1.03,2),ROUND('Per6'!G61*1.03,0))</f>
        <v>0</v>
      </c>
      <c r="H61" s="482"/>
      <c r="I61" s="6"/>
      <c r="J61" s="27"/>
      <c r="K61" s="209">
        <f t="shared" si="6"/>
        <v>0</v>
      </c>
      <c r="L61" s="7" t="str">
        <f t="shared" si="2"/>
        <v>-</v>
      </c>
      <c r="M61" s="19">
        <f t="shared" si="3"/>
        <v>0</v>
      </c>
      <c r="N61" s="19">
        <f t="shared" si="4"/>
        <v>0</v>
      </c>
      <c r="O61" s="8">
        <f t="shared" si="5"/>
        <v>0</v>
      </c>
      <c r="P61" s="30"/>
      <c r="Q61" s="14"/>
      <c r="S61" s="146"/>
    </row>
    <row r="62" spans="1:19" ht="13.5" hidden="1" customHeight="1" x14ac:dyDescent="0.2">
      <c r="A62" s="415"/>
      <c r="B62" s="383" t="str">
        <f>IF('Per6'!B62&lt;&gt;"",'Per6'!B62,"")</f>
        <v/>
      </c>
      <c r="C62" s="383"/>
      <c r="D62" s="60" t="str">
        <f>IF('Per6'!D62&lt;&gt;"",'Per6'!D62,"")</f>
        <v/>
      </c>
      <c r="E62" s="143" t="str">
        <f>'Per1'!E62</f>
        <v>Select</v>
      </c>
      <c r="F62" s="144" t="str">
        <f>'Per1'!F62</f>
        <v>Select One</v>
      </c>
      <c r="G62" s="481">
        <f>IF(E62="Hourly",ROUND('Per6'!G62*1.03,2),ROUND('Per6'!G62*1.03,0))</f>
        <v>0</v>
      </c>
      <c r="H62" s="482"/>
      <c r="I62" s="6"/>
      <c r="J62" s="27"/>
      <c r="K62" s="209">
        <f t="shared" si="6"/>
        <v>0</v>
      </c>
      <c r="L62" s="7" t="str">
        <f t="shared" si="2"/>
        <v>-</v>
      </c>
      <c r="M62" s="19">
        <f t="shared" si="3"/>
        <v>0</v>
      </c>
      <c r="N62" s="19">
        <f t="shared" si="4"/>
        <v>0</v>
      </c>
      <c r="O62" s="8">
        <f t="shared" si="5"/>
        <v>0</v>
      </c>
      <c r="P62" s="30"/>
      <c r="Q62" s="14"/>
      <c r="S62" s="146"/>
    </row>
    <row r="63" spans="1:19" ht="13.5" hidden="1" customHeight="1" x14ac:dyDescent="0.2">
      <c r="A63" s="415"/>
      <c r="B63" s="383" t="str">
        <f>IF('Per6'!B63&lt;&gt;"",'Per6'!B63,"")</f>
        <v/>
      </c>
      <c r="C63" s="383"/>
      <c r="D63" s="60" t="str">
        <f>IF('Per6'!D63&lt;&gt;"",'Per6'!D63,"")</f>
        <v/>
      </c>
      <c r="E63" s="143" t="str">
        <f>'Per1'!E63</f>
        <v>Select</v>
      </c>
      <c r="F63" s="144" t="str">
        <f>'Per1'!F63</f>
        <v>Select One</v>
      </c>
      <c r="G63" s="481">
        <f>IF(E63="Hourly",ROUND('Per6'!G63*1.03,2),ROUND('Per6'!G63*1.03,0))</f>
        <v>0</v>
      </c>
      <c r="H63" s="482"/>
      <c r="I63" s="6"/>
      <c r="J63" s="27"/>
      <c r="K63" s="209">
        <f t="shared" si="6"/>
        <v>0</v>
      </c>
      <c r="L63" s="7" t="str">
        <f t="shared" si="2"/>
        <v>-</v>
      </c>
      <c r="M63" s="19">
        <f t="shared" si="3"/>
        <v>0</v>
      </c>
      <c r="N63" s="19">
        <f t="shared" si="4"/>
        <v>0</v>
      </c>
      <c r="O63" s="8">
        <f t="shared" si="5"/>
        <v>0</v>
      </c>
      <c r="P63" s="30"/>
      <c r="Q63" s="14"/>
      <c r="S63" s="146"/>
    </row>
    <row r="64" spans="1:19" ht="13.5" hidden="1" customHeight="1" x14ac:dyDescent="0.2">
      <c r="A64" s="415"/>
      <c r="B64" s="383" t="str">
        <f>IF('Per6'!B64&lt;&gt;"",'Per6'!B64,"")</f>
        <v/>
      </c>
      <c r="C64" s="383"/>
      <c r="D64" s="60" t="str">
        <f>IF('Per6'!D64&lt;&gt;"",'Per6'!D64,"")</f>
        <v/>
      </c>
      <c r="E64" s="143" t="str">
        <f>'Per1'!E64</f>
        <v>Select</v>
      </c>
      <c r="F64" s="144" t="str">
        <f>'Per1'!F64</f>
        <v>Select One</v>
      </c>
      <c r="G64" s="481">
        <f>IF(E64="Hourly",ROUND('Per6'!G64*1.03,2),ROUND('Per6'!G64*1.03,0))</f>
        <v>0</v>
      </c>
      <c r="H64" s="482"/>
      <c r="I64" s="6"/>
      <c r="J64" s="27"/>
      <c r="K64" s="209">
        <f t="shared" si="6"/>
        <v>0</v>
      </c>
      <c r="L64" s="7" t="str">
        <f t="shared" si="2"/>
        <v>-</v>
      </c>
      <c r="M64" s="19">
        <f t="shared" si="3"/>
        <v>0</v>
      </c>
      <c r="N64" s="19">
        <f t="shared" si="4"/>
        <v>0</v>
      </c>
      <c r="O64" s="8">
        <f t="shared" si="5"/>
        <v>0</v>
      </c>
      <c r="P64" s="30"/>
      <c r="S64" s="146"/>
    </row>
    <row r="65" spans="1:19" ht="13.5" hidden="1" customHeight="1" thickBot="1" x14ac:dyDescent="0.25">
      <c r="A65" s="415"/>
      <c r="B65" s="383" t="str">
        <f>IF('Per6'!B65&lt;&gt;"",'Per6'!B65,"")</f>
        <v/>
      </c>
      <c r="C65" s="383"/>
      <c r="D65" s="60" t="str">
        <f>IF('Per6'!D65&lt;&gt;"",'Per6'!D65,"")</f>
        <v/>
      </c>
      <c r="E65" s="143" t="str">
        <f>'Per1'!E65</f>
        <v>Select</v>
      </c>
      <c r="F65" s="144" t="str">
        <f>'Per1'!F65</f>
        <v>Select One</v>
      </c>
      <c r="G65" s="481">
        <f>IF(E65="Hourly",ROUND('Per6'!G65*1.03,2),ROUND('Per6'!G65*1.03,0))</f>
        <v>0</v>
      </c>
      <c r="H65" s="482"/>
      <c r="I65" s="6"/>
      <c r="J65" s="27"/>
      <c r="K65" s="209">
        <f t="shared" si="6"/>
        <v>0</v>
      </c>
      <c r="L65" s="7" t="str">
        <f t="shared" si="2"/>
        <v>-</v>
      </c>
      <c r="M65" s="19">
        <f t="shared" si="3"/>
        <v>0</v>
      </c>
      <c r="N65" s="19">
        <f t="shared" si="4"/>
        <v>0</v>
      </c>
      <c r="O65" s="8">
        <f t="shared" si="5"/>
        <v>0</v>
      </c>
      <c r="P65" s="30"/>
      <c r="S65" s="146"/>
    </row>
    <row r="66" spans="1:19" ht="13.5" customHeight="1" x14ac:dyDescent="0.2">
      <c r="A66" s="415"/>
      <c r="B66" s="504" t="s">
        <v>112</v>
      </c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121" t="s">
        <v>27</v>
      </c>
      <c r="O66" s="139">
        <f>SUM(O67:O68)</f>
        <v>0</v>
      </c>
      <c r="P66" s="147"/>
    </row>
    <row r="67" spans="1:19" ht="13.5" customHeight="1" x14ac:dyDescent="0.2">
      <c r="A67" s="415"/>
      <c r="B67" s="383" t="s">
        <v>113</v>
      </c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4"/>
      <c r="O67" s="11"/>
      <c r="P67" s="30"/>
    </row>
    <row r="68" spans="1:19" ht="13.5" customHeight="1" thickBot="1" x14ac:dyDescent="0.25">
      <c r="A68" s="415"/>
      <c r="B68" s="383" t="s">
        <v>114</v>
      </c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4"/>
      <c r="O68" s="22"/>
      <c r="P68" s="30"/>
    </row>
    <row r="69" spans="1:19" ht="13.5" customHeight="1" x14ac:dyDescent="0.2">
      <c r="A69" s="415"/>
      <c r="B69" s="504" t="s">
        <v>115</v>
      </c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121" t="s">
        <v>27</v>
      </c>
      <c r="O69" s="139">
        <f>SUM(O70,O77:O81)</f>
        <v>0</v>
      </c>
      <c r="P69" s="147"/>
    </row>
    <row r="70" spans="1:19" ht="13.5" customHeight="1" x14ac:dyDescent="0.2">
      <c r="A70" s="415"/>
      <c r="B70" s="523" t="s">
        <v>116</v>
      </c>
      <c r="C70" s="524"/>
      <c r="D70" s="524"/>
      <c r="E70" s="524"/>
      <c r="F70" s="524"/>
      <c r="G70" s="524"/>
      <c r="H70" s="524"/>
      <c r="I70" s="524"/>
      <c r="J70" s="524"/>
      <c r="K70" s="524"/>
      <c r="L70" s="524"/>
      <c r="M70" s="524"/>
      <c r="N70" s="524"/>
      <c r="O70" s="328">
        <f>SUM(N71:N76)</f>
        <v>0</v>
      </c>
      <c r="P70" s="30"/>
    </row>
    <row r="71" spans="1:19" ht="13.5" customHeight="1" x14ac:dyDescent="0.2">
      <c r="A71" s="415"/>
      <c r="B71" s="523" t="s">
        <v>117</v>
      </c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257">
        <v>0</v>
      </c>
      <c r="O71" s="322"/>
      <c r="P71" s="30"/>
    </row>
    <row r="72" spans="1:19" ht="13.5" customHeight="1" x14ac:dyDescent="0.2">
      <c r="A72" s="415"/>
      <c r="B72" s="382" t="s">
        <v>118</v>
      </c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4"/>
      <c r="N72" s="257">
        <v>0</v>
      </c>
      <c r="O72" s="322"/>
      <c r="P72" s="30"/>
    </row>
    <row r="73" spans="1:19" ht="13.5" customHeight="1" x14ac:dyDescent="0.2">
      <c r="A73" s="415"/>
      <c r="B73" s="523" t="s">
        <v>120</v>
      </c>
      <c r="C73" s="524"/>
      <c r="D73" s="524"/>
      <c r="E73" s="524"/>
      <c r="F73" s="524"/>
      <c r="G73" s="524"/>
      <c r="H73" s="524"/>
      <c r="I73" s="524"/>
      <c r="J73" s="524"/>
      <c r="K73" s="524"/>
      <c r="L73" s="524"/>
      <c r="M73" s="524"/>
      <c r="N73" s="257">
        <v>0</v>
      </c>
      <c r="O73" s="322"/>
      <c r="P73" s="30"/>
    </row>
    <row r="74" spans="1:19" ht="13.5" customHeight="1" x14ac:dyDescent="0.2">
      <c r="A74" s="415"/>
      <c r="B74" s="523" t="s">
        <v>121</v>
      </c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257">
        <v>0</v>
      </c>
      <c r="O74" s="322"/>
      <c r="P74" s="30"/>
    </row>
    <row r="75" spans="1:19" ht="13.5" customHeight="1" x14ac:dyDescent="0.2">
      <c r="A75" s="415"/>
      <c r="B75" s="523" t="s">
        <v>122</v>
      </c>
      <c r="C75" s="524"/>
      <c r="D75" s="524"/>
      <c r="E75" s="524"/>
      <c r="F75" s="524"/>
      <c r="G75" s="524"/>
      <c r="H75" s="524"/>
      <c r="I75" s="524"/>
      <c r="J75" s="524"/>
      <c r="K75" s="524"/>
      <c r="L75" s="524"/>
      <c r="M75" s="524"/>
      <c r="N75" s="257">
        <v>0</v>
      </c>
      <c r="O75" s="322"/>
      <c r="P75" s="30"/>
    </row>
    <row r="76" spans="1:19" ht="13.5" customHeight="1" x14ac:dyDescent="0.2">
      <c r="A76" s="415"/>
      <c r="B76" s="523" t="s">
        <v>123</v>
      </c>
      <c r="C76" s="524"/>
      <c r="D76" s="524"/>
      <c r="E76" s="524"/>
      <c r="F76" s="524"/>
      <c r="G76" s="524"/>
      <c r="H76" s="524"/>
      <c r="I76" s="524"/>
      <c r="J76" s="524"/>
      <c r="K76" s="524"/>
      <c r="L76" s="524"/>
      <c r="M76" s="524"/>
      <c r="N76" s="257">
        <v>0</v>
      </c>
      <c r="O76" s="322"/>
      <c r="P76" s="30"/>
    </row>
    <row r="77" spans="1:19" ht="13.5" customHeight="1" x14ac:dyDescent="0.2">
      <c r="A77" s="415"/>
      <c r="B77" s="523" t="s">
        <v>124</v>
      </c>
      <c r="C77" s="524"/>
      <c r="D77" s="524"/>
      <c r="E77" s="524"/>
      <c r="F77" s="524"/>
      <c r="G77" s="524"/>
      <c r="H77" s="524"/>
      <c r="I77" s="524"/>
      <c r="J77" s="524"/>
      <c r="K77" s="524"/>
      <c r="L77" s="524"/>
      <c r="M77" s="524"/>
      <c r="N77" s="524"/>
      <c r="O77" s="258">
        <v>0</v>
      </c>
      <c r="P77" s="30"/>
    </row>
    <row r="78" spans="1:19" ht="13.5" customHeight="1" x14ac:dyDescent="0.2">
      <c r="A78" s="415"/>
      <c r="B78" s="382" t="s">
        <v>125</v>
      </c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4"/>
      <c r="O78" s="258">
        <v>0</v>
      </c>
      <c r="P78" s="30"/>
      <c r="Q78" s="14" t="s">
        <v>127</v>
      </c>
    </row>
    <row r="79" spans="1:19" ht="13.5" customHeight="1" x14ac:dyDescent="0.2">
      <c r="A79" s="415"/>
      <c r="B79" s="523" t="s">
        <v>126</v>
      </c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258">
        <v>0</v>
      </c>
      <c r="P79" s="30"/>
    </row>
    <row r="80" spans="1:19" ht="13.5" customHeight="1" x14ac:dyDescent="0.2">
      <c r="A80" s="415"/>
      <c r="B80" s="523" t="s">
        <v>128</v>
      </c>
      <c r="C80" s="524"/>
      <c r="D80" s="524"/>
      <c r="E80" s="524"/>
      <c r="F80" s="524"/>
      <c r="G80" s="524"/>
      <c r="H80" s="524"/>
      <c r="I80" s="524"/>
      <c r="J80" s="524"/>
      <c r="K80" s="524"/>
      <c r="L80" s="524"/>
      <c r="M80" s="524"/>
      <c r="N80" s="524"/>
      <c r="O80" s="258">
        <v>0</v>
      </c>
      <c r="P80" s="30"/>
    </row>
    <row r="81" spans="1:17" ht="13.5" customHeight="1" thickBot="1" x14ac:dyDescent="0.25">
      <c r="A81" s="416"/>
      <c r="B81" s="564" t="s">
        <v>129</v>
      </c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16">
        <v>0</v>
      </c>
      <c r="P81" s="30"/>
      <c r="Q81" s="224" t="s">
        <v>199</v>
      </c>
    </row>
    <row r="82" spans="1:17" ht="18" customHeight="1" thickBot="1" x14ac:dyDescent="0.25">
      <c r="A82" s="540"/>
      <c r="B82" s="540"/>
      <c r="C82" s="540"/>
      <c r="D82" s="540"/>
      <c r="E82" s="540"/>
      <c r="F82" s="540"/>
      <c r="G82" s="540"/>
      <c r="H82" s="540"/>
      <c r="I82" s="540"/>
      <c r="J82" s="540"/>
      <c r="K82" s="540"/>
      <c r="L82" s="540"/>
      <c r="M82" s="540"/>
      <c r="N82" s="540"/>
      <c r="O82" s="540"/>
      <c r="P82" s="31"/>
      <c r="Q82" s="256" t="s">
        <v>130</v>
      </c>
    </row>
    <row r="83" spans="1:17" ht="13.5" customHeight="1" x14ac:dyDescent="0.2">
      <c r="A83" s="414" t="s">
        <v>131</v>
      </c>
      <c r="B83" s="495" t="s">
        <v>132</v>
      </c>
      <c r="C83" s="495"/>
      <c r="D83" s="495"/>
      <c r="E83" s="495"/>
      <c r="F83" s="495"/>
      <c r="G83" s="495"/>
      <c r="H83" s="495"/>
      <c r="I83" s="495"/>
      <c r="J83" s="495"/>
      <c r="K83" s="495"/>
      <c r="L83" s="495"/>
      <c r="M83" s="495"/>
      <c r="N83" s="121" t="s">
        <v>27</v>
      </c>
      <c r="O83" s="139">
        <f>SUM(O84:O86)</f>
        <v>0</v>
      </c>
      <c r="P83" s="147"/>
    </row>
    <row r="84" spans="1:17" ht="13.5" customHeight="1" x14ac:dyDescent="0.2">
      <c r="A84" s="415"/>
      <c r="B84" s="383" t="s">
        <v>133</v>
      </c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4"/>
      <c r="O84" s="15"/>
      <c r="P84" s="30"/>
    </row>
    <row r="85" spans="1:17" ht="13.5" customHeight="1" x14ac:dyDescent="0.2">
      <c r="A85" s="415"/>
      <c r="B85" s="383" t="s">
        <v>134</v>
      </c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4"/>
      <c r="O85" s="9"/>
      <c r="P85" s="30"/>
    </row>
    <row r="86" spans="1:17" ht="13.5" customHeight="1" thickBot="1" x14ac:dyDescent="0.25">
      <c r="A86" s="415"/>
      <c r="B86" s="501" t="s">
        <v>135</v>
      </c>
      <c r="C86" s="501"/>
      <c r="D86" s="501"/>
      <c r="E86" s="501"/>
      <c r="F86" s="501"/>
      <c r="G86" s="501"/>
      <c r="H86" s="501"/>
      <c r="I86" s="501"/>
      <c r="J86" s="501"/>
      <c r="K86" s="501"/>
      <c r="L86" s="501"/>
      <c r="M86" s="501"/>
      <c r="N86" s="502"/>
      <c r="O86" s="10"/>
      <c r="P86" s="30"/>
    </row>
    <row r="87" spans="1:17" ht="13.5" customHeight="1" x14ac:dyDescent="0.2">
      <c r="A87" s="415"/>
      <c r="B87" s="504" t="s">
        <v>136</v>
      </c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121" t="s">
        <v>27</v>
      </c>
      <c r="O87" s="139">
        <f>SUM(O88:O91)</f>
        <v>0</v>
      </c>
      <c r="P87" s="147"/>
    </row>
    <row r="88" spans="1:17" ht="13.5" customHeight="1" x14ac:dyDescent="0.2">
      <c r="A88" s="415"/>
      <c r="B88" s="506" t="s">
        <v>137</v>
      </c>
      <c r="C88" s="506"/>
      <c r="D88" s="506"/>
      <c r="E88" s="506"/>
      <c r="F88" s="506"/>
      <c r="G88" s="506"/>
      <c r="H88" s="506"/>
      <c r="I88" s="506"/>
      <c r="J88" s="506"/>
      <c r="K88" s="506"/>
      <c r="L88" s="506"/>
      <c r="M88" s="506"/>
      <c r="N88" s="507"/>
      <c r="O88" s="11"/>
      <c r="P88" s="30"/>
    </row>
    <row r="89" spans="1:17" ht="13.5" customHeight="1" x14ac:dyDescent="0.2">
      <c r="A89" s="415"/>
      <c r="B89" s="509" t="s">
        <v>138</v>
      </c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10"/>
      <c r="O89" s="13"/>
      <c r="P89" s="30"/>
      <c r="Q89" s="14" t="s">
        <v>139</v>
      </c>
    </row>
    <row r="90" spans="1:17" ht="13.5" customHeight="1" x14ac:dyDescent="0.2">
      <c r="A90" s="415"/>
      <c r="B90" s="383" t="s">
        <v>140</v>
      </c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4"/>
      <c r="O90" s="13"/>
      <c r="P90" s="30"/>
    </row>
    <row r="91" spans="1:17" ht="13.5" customHeight="1" thickBot="1" x14ac:dyDescent="0.25">
      <c r="A91" s="415"/>
      <c r="B91" s="501" t="s">
        <v>141</v>
      </c>
      <c r="C91" s="501"/>
      <c r="D91" s="501"/>
      <c r="E91" s="501"/>
      <c r="F91" s="501"/>
      <c r="G91" s="501"/>
      <c r="H91" s="501"/>
      <c r="I91" s="501"/>
      <c r="J91" s="501"/>
      <c r="K91" s="501"/>
      <c r="L91" s="501"/>
      <c r="M91" s="501"/>
      <c r="N91" s="502"/>
      <c r="O91" s="16"/>
      <c r="P91" s="30"/>
      <c r="Q91" s="14" t="s">
        <v>142</v>
      </c>
    </row>
    <row r="92" spans="1:17" ht="13.5" customHeight="1" x14ac:dyDescent="0.2">
      <c r="A92" s="415"/>
      <c r="B92" s="563" t="s">
        <v>143</v>
      </c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121" t="s">
        <v>27</v>
      </c>
      <c r="O92" s="148">
        <f>SUM(O93:O97)</f>
        <v>0</v>
      </c>
      <c r="P92" s="147"/>
    </row>
    <row r="93" spans="1:17" ht="13.5" customHeight="1" x14ac:dyDescent="0.2">
      <c r="A93" s="415"/>
      <c r="B93" s="388" t="s">
        <v>144</v>
      </c>
      <c r="C93" s="389"/>
      <c r="D93" s="389"/>
      <c r="E93" s="389"/>
      <c r="F93" s="389"/>
      <c r="G93" s="389"/>
      <c r="H93" s="389"/>
      <c r="I93" s="389"/>
      <c r="J93" s="389"/>
      <c r="K93" s="389"/>
      <c r="L93" s="389"/>
      <c r="M93" s="389"/>
      <c r="N93" s="390"/>
      <c r="O93" s="149"/>
      <c r="P93" s="147"/>
      <c r="Q93" s="14" t="s">
        <v>145</v>
      </c>
    </row>
    <row r="94" spans="1:17" ht="13.5" customHeight="1" x14ac:dyDescent="0.2">
      <c r="A94" s="415"/>
      <c r="B94" s="383" t="s">
        <v>146</v>
      </c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4"/>
      <c r="O94" s="13"/>
      <c r="P94" s="30"/>
    </row>
    <row r="95" spans="1:17" ht="13.5" customHeight="1" x14ac:dyDescent="0.2">
      <c r="A95" s="415"/>
      <c r="B95" s="383" t="s">
        <v>147</v>
      </c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4"/>
      <c r="O95" s="12"/>
      <c r="P95" s="30"/>
    </row>
    <row r="96" spans="1:17" ht="13.5" customHeight="1" x14ac:dyDescent="0.2">
      <c r="A96" s="415"/>
      <c r="B96" s="382" t="s">
        <v>148</v>
      </c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4"/>
      <c r="O96" s="12"/>
      <c r="P96" s="30"/>
    </row>
    <row r="97" spans="1:17" ht="13.5" customHeight="1" thickBot="1" x14ac:dyDescent="0.25">
      <c r="A97" s="415"/>
      <c r="B97" s="382" t="s">
        <v>149</v>
      </c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4"/>
      <c r="O97" s="12"/>
      <c r="P97" s="30"/>
    </row>
    <row r="98" spans="1:17" ht="18" customHeight="1" thickBot="1" x14ac:dyDescent="0.25">
      <c r="A98" s="18"/>
      <c r="B98" s="467"/>
      <c r="C98" s="467"/>
      <c r="D98" s="467"/>
      <c r="E98" s="467"/>
      <c r="F98" s="467"/>
      <c r="G98" s="467"/>
      <c r="H98" s="467"/>
      <c r="I98" s="467"/>
      <c r="J98" s="467"/>
      <c r="K98" s="467"/>
      <c r="L98" s="467"/>
      <c r="M98" s="467"/>
      <c r="N98" s="467"/>
      <c r="O98" s="467"/>
      <c r="P98" s="32"/>
    </row>
    <row r="99" spans="1:17" ht="13.5" customHeight="1" x14ac:dyDescent="0.2">
      <c r="A99" s="414" t="s">
        <v>150</v>
      </c>
      <c r="B99" s="469" t="s">
        <v>151</v>
      </c>
      <c r="C99" s="560"/>
      <c r="D99" s="560"/>
      <c r="E99" s="560"/>
      <c r="F99" s="560"/>
      <c r="G99" s="560"/>
      <c r="H99" s="560"/>
      <c r="I99" s="560"/>
      <c r="J99" s="560"/>
      <c r="K99" s="560"/>
      <c r="L99" s="560"/>
      <c r="M99" s="560"/>
      <c r="N99" s="36" t="s">
        <v>152</v>
      </c>
      <c r="O99" s="236">
        <f>J121</f>
        <v>0</v>
      </c>
      <c r="P99" s="30"/>
    </row>
    <row r="100" spans="1:17" ht="39" customHeight="1" x14ac:dyDescent="0.2">
      <c r="A100" s="415"/>
      <c r="B100" s="470" t="s">
        <v>153</v>
      </c>
      <c r="C100" s="21" t="s">
        <v>154</v>
      </c>
      <c r="D100" s="21"/>
      <c r="E100" s="21"/>
      <c r="F100" s="473" t="s">
        <v>155</v>
      </c>
      <c r="G100" s="474"/>
      <c r="H100" s="475" t="s">
        <v>156</v>
      </c>
      <c r="I100" s="475"/>
      <c r="J100" s="61" t="s">
        <v>157</v>
      </c>
      <c r="K100" s="242" t="s">
        <v>158</v>
      </c>
      <c r="L100" s="243" t="s">
        <v>159</v>
      </c>
      <c r="M100" s="244" t="s">
        <v>160</v>
      </c>
      <c r="N100" s="367" t="s">
        <v>161</v>
      </c>
      <c r="O100" s="368"/>
    </row>
    <row r="101" spans="1:17" ht="13.5" customHeight="1" x14ac:dyDescent="0.2">
      <c r="A101" s="415"/>
      <c r="B101" s="471"/>
      <c r="C101" s="372">
        <f>'Per1'!C101:E101</f>
        <v>0</v>
      </c>
      <c r="D101" s="373"/>
      <c r="E101" s="374"/>
      <c r="F101" s="393"/>
      <c r="G101" s="393"/>
      <c r="H101" s="393"/>
      <c r="I101" s="393"/>
      <c r="J101" s="330">
        <f>F101+H101</f>
        <v>0</v>
      </c>
      <c r="K101" s="245">
        <f>IF((J101+'Per1'!J101+'Per2'!J101+'Per3'!J101+'Per4'!J101+'Per5'!J101+'Per6'!J101)&lt;=24999,J101, 25000-'Per1'!K101-'Per2'!K101-'Per3'!K101-'Per4'!K101-'Per5'!K101-'Per6'!K101)</f>
        <v>0</v>
      </c>
      <c r="L101" s="331">
        <f>F101+H101-K101</f>
        <v>0</v>
      </c>
      <c r="M101" s="331">
        <f t="shared" ref="M101:M120" si="7">ROUND(IF(($L$7-VLOOKUP($G$123,$I$124:$K$142,3,FALSE))&lt;0,$K101,ROUND((1-($L$7-VLOOKUP($G$123,$I$124:$K$142,3,FALSE))/($L$7 +1 - $L$5))*$K101,0))*M$147,0) +ROUND(IF(($L$7-VLOOKUP($G$123,$I$124:$K$142,3,FALSE))&lt;0,0,ROUND(($L$7-VLOOKUP($G$123,$I$124:$K$142,3,FALSE))/($L$7 +1 - $L$5)*$K101,0))*M$148,0)</f>
        <v>0</v>
      </c>
      <c r="N101" s="365">
        <f>K101+L101+M101</f>
        <v>0</v>
      </c>
      <c r="O101" s="366"/>
    </row>
    <row r="102" spans="1:17" ht="13.5" customHeight="1" x14ac:dyDescent="0.2">
      <c r="A102" s="415"/>
      <c r="B102" s="471"/>
      <c r="C102" s="372">
        <f>'Per1'!C102:E102</f>
        <v>0</v>
      </c>
      <c r="D102" s="373"/>
      <c r="E102" s="374"/>
      <c r="F102" s="393"/>
      <c r="G102" s="393"/>
      <c r="H102" s="393"/>
      <c r="I102" s="393"/>
      <c r="J102" s="330">
        <f t="shared" ref="J102:J120" si="8">F102+H102</f>
        <v>0</v>
      </c>
      <c r="K102" s="245">
        <f>IF((J102+'Per1'!J102+'Per2'!J102+'Per3'!J102+'Per4'!J102+'Per5'!J102+'Per6'!J102)&lt;=24999,J102, 25000-'Per1'!K102-'Per2'!K102-'Per3'!K102-'Per4'!K102-'Per5'!K102-'Per6'!K102)</f>
        <v>0</v>
      </c>
      <c r="L102" s="331">
        <f>F102+H102-K102</f>
        <v>0</v>
      </c>
      <c r="M102" s="331">
        <f t="shared" si="7"/>
        <v>0</v>
      </c>
      <c r="N102" s="365">
        <f t="shared" ref="N102:N120" si="9">K102+L102+M102</f>
        <v>0</v>
      </c>
      <c r="O102" s="366"/>
    </row>
    <row r="103" spans="1:17" ht="13.5" customHeight="1" x14ac:dyDescent="0.2">
      <c r="A103" s="415"/>
      <c r="B103" s="471"/>
      <c r="C103" s="372">
        <f>'Per1'!C103:E103</f>
        <v>0</v>
      </c>
      <c r="D103" s="373"/>
      <c r="E103" s="374"/>
      <c r="F103" s="393"/>
      <c r="G103" s="393"/>
      <c r="H103" s="393"/>
      <c r="I103" s="393"/>
      <c r="J103" s="330">
        <f t="shared" si="8"/>
        <v>0</v>
      </c>
      <c r="K103" s="245">
        <f>IF((J103+'Per1'!J103+'Per2'!J103+'Per3'!J103+'Per4'!J103+'Per5'!J103+'Per6'!J103)&lt;=24999,J103, 25000-'Per1'!K103-'Per2'!K103-'Per3'!K103-'Per4'!K103-'Per5'!K103-'Per6'!K103)</f>
        <v>0</v>
      </c>
      <c r="L103" s="331">
        <f>F103+H103-K103</f>
        <v>0</v>
      </c>
      <c r="M103" s="331">
        <f t="shared" si="7"/>
        <v>0</v>
      </c>
      <c r="N103" s="365">
        <f t="shared" si="9"/>
        <v>0</v>
      </c>
      <c r="O103" s="366"/>
    </row>
    <row r="104" spans="1:17" ht="13.5" customHeight="1" x14ac:dyDescent="0.2">
      <c r="A104" s="415"/>
      <c r="B104" s="471"/>
      <c r="C104" s="372">
        <f>'Per1'!C104:E104</f>
        <v>0</v>
      </c>
      <c r="D104" s="373"/>
      <c r="E104" s="374"/>
      <c r="F104" s="393"/>
      <c r="G104" s="393"/>
      <c r="H104" s="393"/>
      <c r="I104" s="393"/>
      <c r="J104" s="330">
        <f t="shared" si="8"/>
        <v>0</v>
      </c>
      <c r="K104" s="245">
        <f>IF((J104+'Per1'!J104+'Per2'!J104+'Per3'!J104+'Per4'!J104+'Per5'!J104+'Per6'!J104)&lt;=24999,J104, 25000-'Per1'!K104-'Per2'!K104-'Per3'!K104-'Per4'!K104-'Per5'!K104-'Per6'!K104)</f>
        <v>0</v>
      </c>
      <c r="L104" s="331">
        <f>F104+H104-K104</f>
        <v>0</v>
      </c>
      <c r="M104" s="331">
        <f t="shared" si="7"/>
        <v>0</v>
      </c>
      <c r="N104" s="365">
        <f t="shared" si="9"/>
        <v>0</v>
      </c>
      <c r="O104" s="366"/>
    </row>
    <row r="105" spans="1:17" ht="13.5" customHeight="1" x14ac:dyDescent="0.2">
      <c r="A105" s="415"/>
      <c r="B105" s="471"/>
      <c r="C105" s="372">
        <f>'Per1'!C105:E105</f>
        <v>0</v>
      </c>
      <c r="D105" s="373"/>
      <c r="E105" s="374"/>
      <c r="F105" s="375"/>
      <c r="G105" s="375"/>
      <c r="H105" s="375"/>
      <c r="I105" s="375"/>
      <c r="J105" s="332">
        <f t="shared" si="8"/>
        <v>0</v>
      </c>
      <c r="K105" s="245">
        <f>IF((J105+'Per1'!J105+'Per2'!J105+'Per3'!J105+'Per4'!J105+'Per5'!J105+'Per6'!J105)&lt;=24999,J105, 25000-'Per1'!K105-'Per2'!K105-'Per3'!K105-'Per4'!K105-'Per5'!K105-'Per6'!K105)</f>
        <v>0</v>
      </c>
      <c r="L105" s="333">
        <f>F105+H105-K105</f>
        <v>0</v>
      </c>
      <c r="M105" s="331">
        <f t="shared" si="7"/>
        <v>0</v>
      </c>
      <c r="N105" s="561">
        <f t="shared" si="9"/>
        <v>0</v>
      </c>
      <c r="O105" s="562"/>
      <c r="Q105" s="224" t="s">
        <v>162</v>
      </c>
    </row>
    <row r="106" spans="1:17" ht="13.5" customHeight="1" thickBot="1" x14ac:dyDescent="0.25">
      <c r="A106" s="415"/>
      <c r="B106" s="471"/>
      <c r="C106" s="372">
        <f>'Per1'!C106:E106</f>
        <v>0</v>
      </c>
      <c r="D106" s="373"/>
      <c r="E106" s="374"/>
      <c r="F106" s="375"/>
      <c r="G106" s="375"/>
      <c r="H106" s="375"/>
      <c r="I106" s="375"/>
      <c r="J106" s="332">
        <f t="shared" si="8"/>
        <v>0</v>
      </c>
      <c r="K106" s="245">
        <f>IF((J106+'Per1'!J106+'Per2'!J106+'Per3'!J106+'Per4'!J106+'Per5'!J106+'Per6'!J106)&lt;=24999,J106, 25000-'Per1'!K106-'Per2'!K106-'Per3'!K106-'Per4'!K106-'Per5'!K106-'Per6'!K106)</f>
        <v>0</v>
      </c>
      <c r="L106" s="333">
        <f t="shared" ref="L106:L120" si="10">F106+H106-K106</f>
        <v>0</v>
      </c>
      <c r="M106" s="331">
        <f t="shared" si="7"/>
        <v>0</v>
      </c>
      <c r="N106" s="365">
        <f t="shared" si="9"/>
        <v>0</v>
      </c>
      <c r="O106" s="366"/>
    </row>
    <row r="107" spans="1:17" ht="13.5" hidden="1" customHeight="1" x14ac:dyDescent="0.2">
      <c r="A107" s="415"/>
      <c r="B107" s="471"/>
      <c r="C107" s="372">
        <f>'Per1'!C107:E107</f>
        <v>0</v>
      </c>
      <c r="D107" s="373"/>
      <c r="E107" s="374"/>
      <c r="F107" s="375"/>
      <c r="G107" s="375"/>
      <c r="H107" s="375"/>
      <c r="I107" s="375"/>
      <c r="J107" s="332">
        <f t="shared" si="8"/>
        <v>0</v>
      </c>
      <c r="K107" s="245">
        <f>IF((J107+'Per1'!J107+'Per2'!J107+'Per3'!J107+'Per4'!J107+'Per5'!J107+'Per6'!J107)&lt;=24999,J107, 25000-'Per1'!K107-'Per2'!K107-'Per3'!K107-'Per4'!K107-'Per5'!K107-'Per6'!K107)</f>
        <v>0</v>
      </c>
      <c r="L107" s="333">
        <f t="shared" si="10"/>
        <v>0</v>
      </c>
      <c r="M107" s="331">
        <f t="shared" si="7"/>
        <v>0</v>
      </c>
      <c r="N107" s="365">
        <f t="shared" si="9"/>
        <v>0</v>
      </c>
      <c r="O107" s="366"/>
    </row>
    <row r="108" spans="1:17" ht="13.5" hidden="1" customHeight="1" x14ac:dyDescent="0.2">
      <c r="A108" s="415"/>
      <c r="B108" s="471"/>
      <c r="C108" s="372">
        <f>'Per1'!C108:E108</f>
        <v>0</v>
      </c>
      <c r="D108" s="373"/>
      <c r="E108" s="374"/>
      <c r="F108" s="375"/>
      <c r="G108" s="375"/>
      <c r="H108" s="375"/>
      <c r="I108" s="375"/>
      <c r="J108" s="332">
        <f t="shared" si="8"/>
        <v>0</v>
      </c>
      <c r="K108" s="245">
        <f>IF((J108+'Per1'!J108+'Per2'!J108+'Per3'!J108+'Per4'!J108+'Per5'!J108+'Per6'!J108)&lt;=24999,J108, 25000-'Per1'!K108-'Per2'!K108-'Per3'!K108-'Per4'!K108-'Per5'!K108-'Per6'!K108)</f>
        <v>0</v>
      </c>
      <c r="L108" s="333">
        <f t="shared" si="10"/>
        <v>0</v>
      </c>
      <c r="M108" s="331">
        <f t="shared" si="7"/>
        <v>0</v>
      </c>
      <c r="N108" s="365">
        <f t="shared" si="9"/>
        <v>0</v>
      </c>
      <c r="O108" s="366"/>
    </row>
    <row r="109" spans="1:17" ht="13.5" hidden="1" customHeight="1" x14ac:dyDescent="0.2">
      <c r="A109" s="415"/>
      <c r="B109" s="471"/>
      <c r="C109" s="372">
        <f>'Per1'!C109:E109</f>
        <v>0</v>
      </c>
      <c r="D109" s="373"/>
      <c r="E109" s="374"/>
      <c r="F109" s="375"/>
      <c r="G109" s="375"/>
      <c r="H109" s="375"/>
      <c r="I109" s="375"/>
      <c r="J109" s="332">
        <f t="shared" si="8"/>
        <v>0</v>
      </c>
      <c r="K109" s="245">
        <f>IF((J109+'Per1'!J109+'Per2'!J109+'Per3'!J109+'Per4'!J109+'Per5'!J109+'Per6'!J109)&lt;=24999,J109, 25000-'Per1'!K109-'Per2'!K109-'Per3'!K109-'Per4'!K109-'Per5'!K109-'Per6'!K109)</f>
        <v>0</v>
      </c>
      <c r="L109" s="333">
        <f t="shared" si="10"/>
        <v>0</v>
      </c>
      <c r="M109" s="331">
        <f t="shared" si="7"/>
        <v>0</v>
      </c>
      <c r="N109" s="365">
        <f t="shared" si="9"/>
        <v>0</v>
      </c>
      <c r="O109" s="366"/>
    </row>
    <row r="110" spans="1:17" ht="13.5" hidden="1" customHeight="1" x14ac:dyDescent="0.2">
      <c r="A110" s="415"/>
      <c r="B110" s="471"/>
      <c r="C110" s="372">
        <f>'Per1'!C110:E110</f>
        <v>0</v>
      </c>
      <c r="D110" s="373"/>
      <c r="E110" s="374"/>
      <c r="F110" s="375"/>
      <c r="G110" s="375"/>
      <c r="H110" s="375"/>
      <c r="I110" s="375"/>
      <c r="J110" s="332">
        <f t="shared" si="8"/>
        <v>0</v>
      </c>
      <c r="K110" s="245">
        <f>IF((J110+'Per1'!J110+'Per2'!J110+'Per3'!J110+'Per4'!J110+'Per5'!J110+'Per6'!J110)&lt;=24999,J110, 25000-'Per1'!K110-'Per2'!K110-'Per3'!K110-'Per4'!K110-'Per5'!K110-'Per6'!K110)</f>
        <v>0</v>
      </c>
      <c r="L110" s="333">
        <f t="shared" si="10"/>
        <v>0</v>
      </c>
      <c r="M110" s="331">
        <f t="shared" si="7"/>
        <v>0</v>
      </c>
      <c r="N110" s="365">
        <f t="shared" si="9"/>
        <v>0</v>
      </c>
      <c r="O110" s="366"/>
    </row>
    <row r="111" spans="1:17" ht="13.5" hidden="1" customHeight="1" x14ac:dyDescent="0.2">
      <c r="A111" s="415"/>
      <c r="B111" s="471"/>
      <c r="C111" s="372">
        <f>'Per1'!C111:E111</f>
        <v>0</v>
      </c>
      <c r="D111" s="373"/>
      <c r="E111" s="374"/>
      <c r="F111" s="375"/>
      <c r="G111" s="375"/>
      <c r="H111" s="375"/>
      <c r="I111" s="375"/>
      <c r="J111" s="332">
        <f t="shared" si="8"/>
        <v>0</v>
      </c>
      <c r="K111" s="245">
        <f>IF((J111+'Per1'!J111+'Per2'!J111+'Per3'!J111+'Per4'!J111+'Per5'!J111+'Per6'!J111)&lt;=24999,J111, 25000-'Per1'!K111-'Per2'!K111-'Per3'!K111-'Per4'!K111-'Per5'!K111-'Per6'!K111)</f>
        <v>0</v>
      </c>
      <c r="L111" s="333">
        <f t="shared" si="10"/>
        <v>0</v>
      </c>
      <c r="M111" s="331">
        <f t="shared" si="7"/>
        <v>0</v>
      </c>
      <c r="N111" s="365">
        <f t="shared" si="9"/>
        <v>0</v>
      </c>
      <c r="O111" s="366"/>
    </row>
    <row r="112" spans="1:17" ht="13.5" hidden="1" customHeight="1" x14ac:dyDescent="0.2">
      <c r="A112" s="415"/>
      <c r="B112" s="471"/>
      <c r="C112" s="372">
        <f>'Per1'!C112:E112</f>
        <v>0</v>
      </c>
      <c r="D112" s="373"/>
      <c r="E112" s="374"/>
      <c r="F112" s="375"/>
      <c r="G112" s="375"/>
      <c r="H112" s="375"/>
      <c r="I112" s="375"/>
      <c r="J112" s="332">
        <f t="shared" si="8"/>
        <v>0</v>
      </c>
      <c r="K112" s="245">
        <f>IF((J112+'Per1'!J112+'Per2'!J112+'Per3'!J112+'Per4'!J112+'Per5'!J112+'Per6'!J112)&lt;=24999,J112, 25000-'Per1'!K112-'Per2'!K112-'Per3'!K112-'Per4'!K112-'Per5'!K112-'Per6'!K112)</f>
        <v>0</v>
      </c>
      <c r="L112" s="333">
        <f t="shared" si="10"/>
        <v>0</v>
      </c>
      <c r="M112" s="331">
        <f t="shared" si="7"/>
        <v>0</v>
      </c>
      <c r="N112" s="365">
        <f t="shared" si="9"/>
        <v>0</v>
      </c>
      <c r="O112" s="366"/>
    </row>
    <row r="113" spans="1:16" ht="13.5" hidden="1" customHeight="1" x14ac:dyDescent="0.2">
      <c r="A113" s="415"/>
      <c r="B113" s="471"/>
      <c r="C113" s="372">
        <f>'Per1'!C113:E113</f>
        <v>0</v>
      </c>
      <c r="D113" s="373"/>
      <c r="E113" s="374"/>
      <c r="F113" s="375"/>
      <c r="G113" s="375"/>
      <c r="H113" s="375"/>
      <c r="I113" s="375"/>
      <c r="J113" s="332">
        <f t="shared" si="8"/>
        <v>0</v>
      </c>
      <c r="K113" s="245">
        <f>IF((J113+'Per1'!J113+'Per2'!J113+'Per3'!J113+'Per4'!J113+'Per5'!J113+'Per6'!J113)&lt;=24999,J113, 25000-'Per1'!K113-'Per2'!K113-'Per3'!K113-'Per4'!K113-'Per5'!K113-'Per6'!K113)</f>
        <v>0</v>
      </c>
      <c r="L113" s="333">
        <f t="shared" si="10"/>
        <v>0</v>
      </c>
      <c r="M113" s="331">
        <f t="shared" si="7"/>
        <v>0</v>
      </c>
      <c r="N113" s="365">
        <f t="shared" si="9"/>
        <v>0</v>
      </c>
      <c r="O113" s="366"/>
    </row>
    <row r="114" spans="1:16" ht="13.5" hidden="1" customHeight="1" x14ac:dyDescent="0.2">
      <c r="A114" s="415"/>
      <c r="B114" s="471"/>
      <c r="C114" s="372">
        <f>'Per1'!C114:E114</f>
        <v>0</v>
      </c>
      <c r="D114" s="373"/>
      <c r="E114" s="374"/>
      <c r="F114" s="375"/>
      <c r="G114" s="375"/>
      <c r="H114" s="375"/>
      <c r="I114" s="375"/>
      <c r="J114" s="332">
        <f t="shared" si="8"/>
        <v>0</v>
      </c>
      <c r="K114" s="245">
        <f>IF((J114+'Per1'!J114+'Per2'!J114+'Per3'!J114+'Per4'!J114+'Per5'!J114+'Per6'!J114)&lt;=24999,J114, 25000-'Per1'!K114-'Per2'!K114-'Per3'!K114-'Per4'!K114-'Per5'!K114-'Per6'!K114)</f>
        <v>0</v>
      </c>
      <c r="L114" s="333">
        <f t="shared" si="10"/>
        <v>0</v>
      </c>
      <c r="M114" s="331">
        <f t="shared" si="7"/>
        <v>0</v>
      </c>
      <c r="N114" s="365">
        <f t="shared" si="9"/>
        <v>0</v>
      </c>
      <c r="O114" s="366"/>
    </row>
    <row r="115" spans="1:16" ht="13.5" hidden="1" customHeight="1" x14ac:dyDescent="0.2">
      <c r="A115" s="415"/>
      <c r="B115" s="471"/>
      <c r="C115" s="372">
        <f>'Per1'!C115:E115</f>
        <v>0</v>
      </c>
      <c r="D115" s="373"/>
      <c r="E115" s="374"/>
      <c r="F115" s="375"/>
      <c r="G115" s="375"/>
      <c r="H115" s="375"/>
      <c r="I115" s="375"/>
      <c r="J115" s="332">
        <f t="shared" si="8"/>
        <v>0</v>
      </c>
      <c r="K115" s="245">
        <f>IF((J115+'Per1'!J115+'Per2'!J115+'Per3'!J115+'Per4'!J115+'Per5'!J115+'Per6'!J115)&lt;=24999,J115, 25000-'Per1'!K115-'Per2'!K115-'Per3'!K115-'Per4'!K115-'Per5'!K115-'Per6'!K115)</f>
        <v>0</v>
      </c>
      <c r="L115" s="333">
        <f t="shared" si="10"/>
        <v>0</v>
      </c>
      <c r="M115" s="331">
        <f t="shared" si="7"/>
        <v>0</v>
      </c>
      <c r="N115" s="365">
        <f t="shared" si="9"/>
        <v>0</v>
      </c>
      <c r="O115" s="366"/>
    </row>
    <row r="116" spans="1:16" ht="13.5" hidden="1" customHeight="1" x14ac:dyDescent="0.2">
      <c r="A116" s="415"/>
      <c r="B116" s="471"/>
      <c r="C116" s="372">
        <f>'Per1'!C116:E116</f>
        <v>0</v>
      </c>
      <c r="D116" s="373"/>
      <c r="E116" s="374"/>
      <c r="F116" s="375"/>
      <c r="G116" s="375"/>
      <c r="H116" s="375"/>
      <c r="I116" s="375"/>
      <c r="J116" s="332">
        <f t="shared" si="8"/>
        <v>0</v>
      </c>
      <c r="K116" s="245">
        <f>IF((J116+'Per1'!J116+'Per2'!J116+'Per3'!J116+'Per4'!J116+'Per5'!J116+'Per6'!J116)&lt;=24999,J116, 25000-'Per1'!K116-'Per2'!K116-'Per3'!K116-'Per4'!K116-'Per5'!K116-'Per6'!K116)</f>
        <v>0</v>
      </c>
      <c r="L116" s="333">
        <f t="shared" si="10"/>
        <v>0</v>
      </c>
      <c r="M116" s="331">
        <f t="shared" si="7"/>
        <v>0</v>
      </c>
      <c r="N116" s="365">
        <f t="shared" si="9"/>
        <v>0</v>
      </c>
      <c r="O116" s="366"/>
    </row>
    <row r="117" spans="1:16" ht="13.5" hidden="1" customHeight="1" x14ac:dyDescent="0.2">
      <c r="A117" s="415"/>
      <c r="B117" s="471"/>
      <c r="C117" s="372">
        <f>'Per1'!C117:E117</f>
        <v>0</v>
      </c>
      <c r="D117" s="373"/>
      <c r="E117" s="374"/>
      <c r="F117" s="375"/>
      <c r="G117" s="375"/>
      <c r="H117" s="375"/>
      <c r="I117" s="375"/>
      <c r="J117" s="332">
        <f t="shared" si="8"/>
        <v>0</v>
      </c>
      <c r="K117" s="245">
        <f>IF((J117+'Per1'!J117+'Per2'!J117+'Per3'!J117+'Per4'!J117+'Per5'!J117+'Per6'!J117)&lt;=24999,J117, 25000-'Per1'!K117-'Per2'!K117-'Per3'!K117-'Per4'!K117-'Per5'!K117-'Per6'!K117)</f>
        <v>0</v>
      </c>
      <c r="L117" s="333">
        <f t="shared" si="10"/>
        <v>0</v>
      </c>
      <c r="M117" s="331">
        <f t="shared" si="7"/>
        <v>0</v>
      </c>
      <c r="N117" s="365">
        <f t="shared" si="9"/>
        <v>0</v>
      </c>
      <c r="O117" s="366"/>
    </row>
    <row r="118" spans="1:16" ht="13.5" hidden="1" customHeight="1" x14ac:dyDescent="0.2">
      <c r="A118" s="415"/>
      <c r="B118" s="471"/>
      <c r="C118" s="372">
        <f>'Per1'!C118:E118</f>
        <v>0</v>
      </c>
      <c r="D118" s="373"/>
      <c r="E118" s="374"/>
      <c r="F118" s="375"/>
      <c r="G118" s="375"/>
      <c r="H118" s="375"/>
      <c r="I118" s="375"/>
      <c r="J118" s="332">
        <f t="shared" si="8"/>
        <v>0</v>
      </c>
      <c r="K118" s="245">
        <f>IF((J118+'Per1'!J118+'Per2'!J118+'Per3'!J118+'Per4'!J118+'Per5'!J118+'Per6'!J118)&lt;=24999,J118, 25000-'Per1'!K118-'Per2'!K118-'Per3'!K118-'Per4'!K118-'Per5'!K118-'Per6'!K118)</f>
        <v>0</v>
      </c>
      <c r="L118" s="333">
        <f t="shared" si="10"/>
        <v>0</v>
      </c>
      <c r="M118" s="331">
        <f t="shared" si="7"/>
        <v>0</v>
      </c>
      <c r="N118" s="365">
        <f t="shared" si="9"/>
        <v>0</v>
      </c>
      <c r="O118" s="366"/>
    </row>
    <row r="119" spans="1:16" ht="13.5" hidden="1" customHeight="1" x14ac:dyDescent="0.2">
      <c r="A119" s="415"/>
      <c r="B119" s="471"/>
      <c r="C119" s="372">
        <f>'Per1'!C119:E119</f>
        <v>0</v>
      </c>
      <c r="D119" s="373"/>
      <c r="E119" s="374"/>
      <c r="F119" s="375"/>
      <c r="G119" s="375"/>
      <c r="H119" s="375"/>
      <c r="I119" s="375"/>
      <c r="J119" s="332">
        <f t="shared" si="8"/>
        <v>0</v>
      </c>
      <c r="K119" s="245">
        <f>IF((J119+'Per1'!J119+'Per2'!J119+'Per3'!J119+'Per4'!J119+'Per5'!J119+'Per6'!J119)&lt;=24999,J119, 25000-'Per1'!K119-'Per2'!K119-'Per3'!K119-'Per4'!K119-'Per5'!K119-'Per6'!K119)</f>
        <v>0</v>
      </c>
      <c r="L119" s="333">
        <f t="shared" si="10"/>
        <v>0</v>
      </c>
      <c r="M119" s="331">
        <f t="shared" si="7"/>
        <v>0</v>
      </c>
      <c r="N119" s="365">
        <f t="shared" si="9"/>
        <v>0</v>
      </c>
      <c r="O119" s="366"/>
    </row>
    <row r="120" spans="1:16" ht="13.5" hidden="1" customHeight="1" thickBot="1" x14ac:dyDescent="0.25">
      <c r="A120" s="415"/>
      <c r="B120" s="471"/>
      <c r="C120" s="372">
        <f>'Per1'!C120:E120</f>
        <v>0</v>
      </c>
      <c r="D120" s="373"/>
      <c r="E120" s="374"/>
      <c r="F120" s="375"/>
      <c r="G120" s="375"/>
      <c r="H120" s="375"/>
      <c r="I120" s="375"/>
      <c r="J120" s="332">
        <f t="shared" si="8"/>
        <v>0</v>
      </c>
      <c r="K120" s="245">
        <f>IF((J120+'Per1'!J120+'Per2'!J120+'Per3'!J120+'Per4'!J120+'Per5'!J120+'Per6'!J120)&lt;=24999,J120, 25000-'Per1'!K120-'Per2'!K120-'Per3'!K120-'Per4'!K120-'Per5'!K120-'Per6'!K120)</f>
        <v>0</v>
      </c>
      <c r="L120" s="333">
        <f t="shared" si="10"/>
        <v>0</v>
      </c>
      <c r="M120" s="331">
        <f t="shared" si="7"/>
        <v>0</v>
      </c>
      <c r="N120" s="479">
        <f t="shared" si="9"/>
        <v>0</v>
      </c>
      <c r="O120" s="480"/>
    </row>
    <row r="121" spans="1:16" ht="13.5" customHeight="1" thickBot="1" x14ac:dyDescent="0.25">
      <c r="A121" s="416"/>
      <c r="B121" s="472"/>
      <c r="C121" s="436" t="s">
        <v>163</v>
      </c>
      <c r="D121" s="436"/>
      <c r="E121" s="437"/>
      <c r="F121" s="379">
        <f>SUM(F101:G120)</f>
        <v>0</v>
      </c>
      <c r="G121" s="379"/>
      <c r="H121" s="379">
        <f>SUM(H101:I120)</f>
        <v>0</v>
      </c>
      <c r="I121" s="379"/>
      <c r="J121" s="334">
        <f>SUM(J101:J120)</f>
        <v>0</v>
      </c>
      <c r="K121" s="247">
        <f>SUM(K101:K120)</f>
        <v>0</v>
      </c>
      <c r="L121" s="335">
        <f>SUM(L101:L120)</f>
        <v>0</v>
      </c>
      <c r="M121" s="336">
        <f>SUM(M101:M120)</f>
        <v>0</v>
      </c>
      <c r="N121" s="248"/>
      <c r="O121" s="249"/>
    </row>
    <row r="122" spans="1:16" ht="18" hidden="1" customHeight="1" thickBot="1" x14ac:dyDescent="0.25">
      <c r="A122" s="574"/>
      <c r="B122" s="574"/>
      <c r="C122" s="574"/>
      <c r="D122" s="574"/>
      <c r="E122" s="574"/>
      <c r="F122" s="574"/>
      <c r="G122" s="574"/>
      <c r="H122" s="574"/>
      <c r="I122" s="574"/>
      <c r="J122" s="574"/>
      <c r="K122" s="574"/>
      <c r="L122" s="574"/>
      <c r="M122" s="574"/>
      <c r="N122" s="540"/>
      <c r="O122" s="540"/>
      <c r="P122" s="31"/>
    </row>
    <row r="123" spans="1:16" ht="18" hidden="1" customHeight="1" x14ac:dyDescent="0.2">
      <c r="A123" s="125"/>
      <c r="B123" s="218"/>
      <c r="C123" s="218"/>
      <c r="D123" s="218"/>
      <c r="E123" s="218"/>
      <c r="F123" s="219" t="s">
        <v>164</v>
      </c>
      <c r="G123" s="218">
        <f>IF(MONTH(L5)&lt;9,YEAR(L5),YEAR(L5)+1)</f>
        <v>2031</v>
      </c>
      <c r="H123" s="218"/>
      <c r="I123" s="219" t="s">
        <v>165</v>
      </c>
      <c r="J123" s="219" t="s">
        <v>166</v>
      </c>
      <c r="K123" s="219" t="s">
        <v>167</v>
      </c>
      <c r="L123" s="124"/>
      <c r="M123" s="124"/>
      <c r="N123" s="124"/>
      <c r="O123" s="124"/>
      <c r="P123" s="31"/>
    </row>
    <row r="124" spans="1:16" ht="18" hidden="1" customHeight="1" x14ac:dyDescent="0.2">
      <c r="A124" s="125"/>
      <c r="B124" s="218"/>
      <c r="C124" s="218"/>
      <c r="D124" s="218"/>
      <c r="E124" s="218"/>
      <c r="F124" s="218"/>
      <c r="G124" s="218"/>
      <c r="H124" s="218"/>
      <c r="I124" s="218">
        <v>2018</v>
      </c>
      <c r="J124" s="218">
        <v>0.47</v>
      </c>
      <c r="K124" s="220">
        <f>DATE(I124,8,31)</f>
        <v>43343</v>
      </c>
      <c r="L124" s="124"/>
      <c r="M124" s="124"/>
      <c r="N124" s="124"/>
      <c r="O124" s="124"/>
      <c r="P124" s="31"/>
    </row>
    <row r="125" spans="1:16" ht="18" hidden="1" customHeight="1" x14ac:dyDescent="0.2">
      <c r="A125" s="125"/>
      <c r="B125" s="218"/>
      <c r="C125" s="218"/>
      <c r="D125" s="218"/>
      <c r="E125" s="218"/>
      <c r="F125" s="218"/>
      <c r="G125" s="218"/>
      <c r="H125" s="218"/>
      <c r="I125" s="218">
        <v>2019</v>
      </c>
      <c r="J125" s="218">
        <v>0.49</v>
      </c>
      <c r="K125" s="220">
        <f t="shared" ref="K125:K142" si="11">DATE(I125,8,31)</f>
        <v>43708</v>
      </c>
      <c r="L125" s="124"/>
      <c r="M125" s="124"/>
      <c r="N125" s="124"/>
      <c r="O125" s="124"/>
      <c r="P125" s="31"/>
    </row>
    <row r="126" spans="1:16" ht="18" hidden="1" customHeight="1" x14ac:dyDescent="0.2">
      <c r="A126" s="125"/>
      <c r="B126" s="218"/>
      <c r="C126" s="218"/>
      <c r="D126" s="218"/>
      <c r="E126" s="218"/>
      <c r="F126" s="218"/>
      <c r="G126" s="218"/>
      <c r="H126" s="218"/>
      <c r="I126" s="218">
        <v>2020</v>
      </c>
      <c r="J126" s="218">
        <v>0.495</v>
      </c>
      <c r="K126" s="220">
        <f t="shared" si="11"/>
        <v>44074</v>
      </c>
      <c r="L126" s="124"/>
      <c r="M126" s="124"/>
      <c r="N126" s="124"/>
      <c r="O126" s="124"/>
      <c r="P126" s="31"/>
    </row>
    <row r="127" spans="1:16" ht="18" hidden="1" customHeight="1" x14ac:dyDescent="0.2">
      <c r="A127" s="125"/>
      <c r="B127" s="218"/>
      <c r="C127" s="218"/>
      <c r="D127" s="218"/>
      <c r="E127" s="218"/>
      <c r="F127" s="218"/>
      <c r="G127" s="218"/>
      <c r="H127" s="218"/>
      <c r="I127" s="218">
        <v>2021</v>
      </c>
      <c r="J127" s="218">
        <v>0.5</v>
      </c>
      <c r="K127" s="220">
        <f t="shared" si="11"/>
        <v>44439</v>
      </c>
      <c r="L127" s="124"/>
      <c r="M127" s="124"/>
      <c r="N127" s="124"/>
      <c r="O127" s="124"/>
      <c r="P127" s="31"/>
    </row>
    <row r="128" spans="1:16" ht="18" hidden="1" customHeight="1" x14ac:dyDescent="0.2">
      <c r="A128" s="125"/>
      <c r="B128" s="218"/>
      <c r="C128" s="218"/>
      <c r="D128" s="218"/>
      <c r="E128" s="218"/>
      <c r="F128" s="218"/>
      <c r="G128" s="218"/>
      <c r="H128" s="218"/>
      <c r="I128" s="218">
        <v>2022</v>
      </c>
      <c r="J128" s="218">
        <v>0.5</v>
      </c>
      <c r="K128" s="220">
        <f t="shared" si="11"/>
        <v>44804</v>
      </c>
      <c r="L128" s="124"/>
      <c r="M128" s="124"/>
      <c r="N128" s="124"/>
      <c r="O128" s="124"/>
      <c r="P128" s="31"/>
    </row>
    <row r="129" spans="1:17" ht="18" hidden="1" customHeight="1" x14ac:dyDescent="0.2">
      <c r="A129" s="125"/>
      <c r="B129" s="218"/>
      <c r="C129" s="218"/>
      <c r="D129" s="218"/>
      <c r="E129" s="218"/>
      <c r="F129" s="218"/>
      <c r="G129" s="218"/>
      <c r="H129" s="218"/>
      <c r="I129" s="218">
        <v>2023</v>
      </c>
      <c r="J129" s="218">
        <v>0.5</v>
      </c>
      <c r="K129" s="220">
        <f t="shared" si="11"/>
        <v>45169</v>
      </c>
      <c r="L129" s="124"/>
      <c r="M129" s="124"/>
      <c r="N129" s="124"/>
      <c r="O129" s="124"/>
      <c r="P129" s="31"/>
    </row>
    <row r="130" spans="1:17" ht="18" hidden="1" customHeight="1" x14ac:dyDescent="0.2">
      <c r="A130" s="125"/>
      <c r="B130" s="218"/>
      <c r="C130" s="218"/>
      <c r="D130" s="218"/>
      <c r="E130" s="218"/>
      <c r="F130" s="218"/>
      <c r="G130" s="218"/>
      <c r="H130" s="218"/>
      <c r="I130" s="218">
        <v>2024</v>
      </c>
      <c r="J130" s="218">
        <v>0.5</v>
      </c>
      <c r="K130" s="220">
        <f t="shared" si="11"/>
        <v>45535</v>
      </c>
      <c r="L130" s="124"/>
      <c r="M130" s="124"/>
      <c r="N130" s="124"/>
      <c r="O130" s="124"/>
      <c r="P130" s="31"/>
    </row>
    <row r="131" spans="1:17" ht="18" hidden="1" customHeight="1" x14ac:dyDescent="0.2">
      <c r="A131" s="125"/>
      <c r="B131" s="218"/>
      <c r="C131" s="218"/>
      <c r="D131" s="218"/>
      <c r="E131" s="218"/>
      <c r="F131" s="218"/>
      <c r="G131" s="218"/>
      <c r="H131" s="218"/>
      <c r="I131" s="218">
        <v>2025</v>
      </c>
      <c r="J131" s="218">
        <v>0.5</v>
      </c>
      <c r="K131" s="220">
        <f t="shared" si="11"/>
        <v>45900</v>
      </c>
      <c r="L131" s="124"/>
      <c r="M131" s="124"/>
      <c r="N131" s="124"/>
      <c r="O131" s="124"/>
      <c r="P131" s="31"/>
    </row>
    <row r="132" spans="1:17" ht="18" hidden="1" customHeight="1" x14ac:dyDescent="0.2">
      <c r="A132" s="125"/>
      <c r="B132" s="218"/>
      <c r="C132" s="218"/>
      <c r="D132" s="218"/>
      <c r="E132" s="218"/>
      <c r="F132" s="218"/>
      <c r="G132" s="218"/>
      <c r="H132" s="218"/>
      <c r="I132" s="218">
        <v>2026</v>
      </c>
      <c r="J132" s="218">
        <v>0.5</v>
      </c>
      <c r="K132" s="220">
        <f t="shared" si="11"/>
        <v>46265</v>
      </c>
      <c r="L132" s="124"/>
      <c r="M132" s="124"/>
      <c r="N132" s="124"/>
      <c r="O132" s="124"/>
      <c r="P132" s="31"/>
    </row>
    <row r="133" spans="1:17" ht="18" hidden="1" customHeight="1" x14ac:dyDescent="0.2">
      <c r="A133" s="125"/>
      <c r="B133" s="218"/>
      <c r="C133" s="218"/>
      <c r="D133" s="218"/>
      <c r="E133" s="218"/>
      <c r="F133" s="218"/>
      <c r="G133" s="218"/>
      <c r="H133" s="218"/>
      <c r="I133" s="218">
        <v>2027</v>
      </c>
      <c r="J133" s="218">
        <v>0.5</v>
      </c>
      <c r="K133" s="220">
        <f t="shared" si="11"/>
        <v>46630</v>
      </c>
      <c r="L133" s="124"/>
      <c r="M133" s="124"/>
      <c r="N133" s="124"/>
      <c r="O133" s="124"/>
      <c r="P133" s="31"/>
    </row>
    <row r="134" spans="1:17" ht="18" hidden="1" customHeight="1" x14ac:dyDescent="0.2">
      <c r="A134" s="125"/>
      <c r="B134" s="218"/>
      <c r="C134" s="218"/>
      <c r="D134" s="218"/>
      <c r="E134" s="218"/>
      <c r="F134" s="218"/>
      <c r="G134" s="218"/>
      <c r="H134" s="218"/>
      <c r="I134" s="218">
        <v>2028</v>
      </c>
      <c r="J134" s="218">
        <v>0.5</v>
      </c>
      <c r="K134" s="220">
        <f t="shared" si="11"/>
        <v>46996</v>
      </c>
      <c r="L134" s="124"/>
      <c r="M134" s="124"/>
      <c r="N134" s="124"/>
      <c r="O134" s="124"/>
      <c r="P134" s="31"/>
    </row>
    <row r="135" spans="1:17" ht="18" hidden="1" customHeight="1" x14ac:dyDescent="0.2">
      <c r="A135" s="125"/>
      <c r="B135" s="218"/>
      <c r="C135" s="218"/>
      <c r="D135" s="218"/>
      <c r="E135" s="218"/>
      <c r="F135" s="218"/>
      <c r="G135" s="218"/>
      <c r="H135" s="218"/>
      <c r="I135" s="218">
        <v>2029</v>
      </c>
      <c r="J135" s="218">
        <v>0.5</v>
      </c>
      <c r="K135" s="220">
        <f t="shared" si="11"/>
        <v>47361</v>
      </c>
      <c r="L135" s="124"/>
      <c r="M135" s="124"/>
      <c r="N135" s="124"/>
      <c r="O135" s="124"/>
      <c r="P135" s="31"/>
    </row>
    <row r="136" spans="1:17" ht="18" hidden="1" customHeight="1" x14ac:dyDescent="0.2">
      <c r="A136" s="125"/>
      <c r="B136" s="218"/>
      <c r="C136" s="218"/>
      <c r="D136" s="218"/>
      <c r="E136" s="218"/>
      <c r="F136" s="218"/>
      <c r="G136" s="218"/>
      <c r="H136" s="218"/>
      <c r="I136" s="218">
        <v>2030</v>
      </c>
      <c r="J136" s="218">
        <v>0.5</v>
      </c>
      <c r="K136" s="220">
        <f t="shared" si="11"/>
        <v>47726</v>
      </c>
      <c r="L136" s="124"/>
      <c r="M136" s="124"/>
      <c r="N136" s="124"/>
      <c r="O136" s="124"/>
      <c r="P136" s="31"/>
    </row>
    <row r="137" spans="1:17" ht="18" hidden="1" customHeight="1" x14ac:dyDescent="0.2">
      <c r="A137" s="125"/>
      <c r="B137" s="218"/>
      <c r="C137" s="218"/>
      <c r="D137" s="218"/>
      <c r="E137" s="218"/>
      <c r="F137" s="218"/>
      <c r="G137" s="218"/>
      <c r="H137" s="218"/>
      <c r="I137" s="218">
        <v>2031</v>
      </c>
      <c r="J137" s="218">
        <v>0.5</v>
      </c>
      <c r="K137" s="220">
        <f t="shared" si="11"/>
        <v>48091</v>
      </c>
      <c r="L137" s="124"/>
      <c r="M137" s="124"/>
      <c r="N137" s="124"/>
      <c r="O137" s="124"/>
      <c r="P137" s="31"/>
    </row>
    <row r="138" spans="1:17" ht="18" hidden="1" customHeight="1" x14ac:dyDescent="0.2">
      <c r="A138" s="125"/>
      <c r="B138" s="218"/>
      <c r="C138" s="218"/>
      <c r="D138" s="218"/>
      <c r="E138" s="218"/>
      <c r="F138" s="218"/>
      <c r="G138" s="218"/>
      <c r="H138" s="218"/>
      <c r="I138" s="218">
        <v>2032</v>
      </c>
      <c r="J138" s="218">
        <v>0.5</v>
      </c>
      <c r="K138" s="220">
        <f t="shared" si="11"/>
        <v>48457</v>
      </c>
      <c r="L138" s="124"/>
      <c r="M138" s="124"/>
      <c r="N138" s="124"/>
      <c r="O138" s="124"/>
      <c r="P138" s="31"/>
    </row>
    <row r="139" spans="1:17" ht="18" hidden="1" customHeight="1" x14ac:dyDescent="0.2">
      <c r="A139" s="125"/>
      <c r="B139" s="218"/>
      <c r="C139" s="218"/>
      <c r="D139" s="218"/>
      <c r="E139" s="218"/>
      <c r="F139" s="218"/>
      <c r="G139" s="218"/>
      <c r="H139" s="218"/>
      <c r="I139" s="218">
        <v>2033</v>
      </c>
      <c r="J139" s="218">
        <v>0.5</v>
      </c>
      <c r="K139" s="220">
        <f t="shared" si="11"/>
        <v>48822</v>
      </c>
      <c r="L139" s="124"/>
      <c r="M139" s="124"/>
      <c r="N139" s="124"/>
      <c r="O139" s="124"/>
      <c r="P139" s="31"/>
    </row>
    <row r="140" spans="1:17" ht="18" hidden="1" customHeight="1" x14ac:dyDescent="0.2">
      <c r="A140" s="125"/>
      <c r="B140" s="218"/>
      <c r="C140" s="218"/>
      <c r="D140" s="218"/>
      <c r="E140" s="218"/>
      <c r="F140" s="218"/>
      <c r="G140" s="218"/>
      <c r="H140" s="218"/>
      <c r="I140" s="218">
        <v>2034</v>
      </c>
      <c r="J140" s="218">
        <v>0.5</v>
      </c>
      <c r="K140" s="220">
        <f t="shared" si="11"/>
        <v>49187</v>
      </c>
      <c r="L140" s="124"/>
      <c r="M140" s="124"/>
      <c r="N140" s="124"/>
      <c r="O140" s="124"/>
      <c r="P140" s="31"/>
    </row>
    <row r="141" spans="1:17" ht="18" hidden="1" customHeight="1" x14ac:dyDescent="0.2">
      <c r="A141" s="125"/>
      <c r="B141" s="218"/>
      <c r="C141" s="218"/>
      <c r="D141" s="218"/>
      <c r="E141" s="218"/>
      <c r="F141" s="218"/>
      <c r="G141" s="218"/>
      <c r="H141" s="218"/>
      <c r="I141" s="218">
        <v>2035</v>
      </c>
      <c r="J141" s="218">
        <v>0.5</v>
      </c>
      <c r="K141" s="220">
        <f t="shared" si="11"/>
        <v>49552</v>
      </c>
      <c r="L141" s="124"/>
      <c r="M141" s="124"/>
      <c r="N141" s="124"/>
      <c r="O141" s="124"/>
      <c r="P141" s="31"/>
    </row>
    <row r="142" spans="1:17" ht="18" hidden="1" customHeight="1" x14ac:dyDescent="0.2">
      <c r="A142" s="125"/>
      <c r="B142" s="218"/>
      <c r="C142" s="218"/>
      <c r="D142" s="218"/>
      <c r="E142" s="218"/>
      <c r="F142" s="218"/>
      <c r="G142" s="218"/>
      <c r="H142" s="218"/>
      <c r="I142" s="218">
        <v>2036</v>
      </c>
      <c r="J142" s="218">
        <v>0.5</v>
      </c>
      <c r="K142" s="220">
        <f t="shared" si="11"/>
        <v>49918</v>
      </c>
      <c r="L142" s="124"/>
      <c r="M142" s="124"/>
      <c r="N142" s="124"/>
      <c r="O142" s="124"/>
      <c r="P142" s="31"/>
    </row>
    <row r="143" spans="1:17" ht="18" customHeight="1" thickBot="1" x14ac:dyDescent="0.25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31"/>
    </row>
    <row r="144" spans="1:17" ht="13.5" customHeight="1" x14ac:dyDescent="0.2">
      <c r="A144" s="414" t="s">
        <v>168</v>
      </c>
      <c r="B144" s="534" t="s">
        <v>169</v>
      </c>
      <c r="C144" s="535"/>
      <c r="D144" s="535"/>
      <c r="E144" s="535"/>
      <c r="F144" s="536"/>
      <c r="G144" s="427" t="s">
        <v>170</v>
      </c>
      <c r="H144" s="428"/>
      <c r="I144" s="428"/>
      <c r="J144" s="428"/>
      <c r="K144" s="429"/>
      <c r="L144" s="464" t="s">
        <v>171</v>
      </c>
      <c r="M144" s="465"/>
      <c r="N144" s="466"/>
      <c r="O144" s="337">
        <f>O155-H121</f>
        <v>0</v>
      </c>
      <c r="P144" s="150"/>
      <c r="Q144" s="1" t="s">
        <v>172</v>
      </c>
    </row>
    <row r="145" spans="1:17" ht="13.5" customHeight="1" x14ac:dyDescent="0.2">
      <c r="A145" s="415"/>
      <c r="B145" s="537"/>
      <c r="C145" s="538"/>
      <c r="D145" s="538"/>
      <c r="E145" s="538"/>
      <c r="F145" s="539"/>
      <c r="G145" s="430"/>
      <c r="H145" s="431"/>
      <c r="I145" s="431"/>
      <c r="J145" s="431"/>
      <c r="K145" s="432"/>
      <c r="L145" s="476" t="s">
        <v>173</v>
      </c>
      <c r="M145" s="477"/>
      <c r="N145" s="478"/>
      <c r="O145" s="338">
        <f>H121</f>
        <v>0</v>
      </c>
      <c r="P145" s="150"/>
    </row>
    <row r="146" spans="1:17" ht="13.5" customHeight="1" x14ac:dyDescent="0.2">
      <c r="A146" s="415"/>
      <c r="B146" s="369" t="s">
        <v>174</v>
      </c>
      <c r="C146" s="370"/>
      <c r="D146" s="370"/>
      <c r="E146" s="370"/>
      <c r="F146" s="371"/>
      <c r="G146" s="430"/>
      <c r="H146" s="431"/>
      <c r="I146" s="431"/>
      <c r="J146" s="431"/>
      <c r="K146" s="432"/>
      <c r="L146" s="376" t="s">
        <v>175</v>
      </c>
      <c r="M146" s="377"/>
      <c r="N146" s="378"/>
      <c r="O146" s="339">
        <f>O155-O87-O83-O92-O99+K121</f>
        <v>0</v>
      </c>
      <c r="P146" s="150"/>
      <c r="Q146" s="225" t="s">
        <v>176</v>
      </c>
    </row>
    <row r="147" spans="1:17" ht="13.5" customHeight="1" x14ac:dyDescent="0.3">
      <c r="A147" s="415"/>
      <c r="B147" s="226"/>
      <c r="C147" s="118" t="s">
        <v>177</v>
      </c>
      <c r="D147" s="118"/>
      <c r="E147" s="118"/>
      <c r="F147" s="227">
        <v>0.5</v>
      </c>
      <c r="G147" s="430"/>
      <c r="H147" s="431"/>
      <c r="I147" s="431"/>
      <c r="J147" s="431"/>
      <c r="K147" s="432"/>
      <c r="L147" s="153" t="s">
        <v>178</v>
      </c>
      <c r="M147" s="113">
        <f>VLOOKUP($G$123,$I$124:$J$142,2,FALSE)</f>
        <v>0.5</v>
      </c>
      <c r="N147" s="250" t="s">
        <v>179</v>
      </c>
      <c r="O147" s="340">
        <f>IF($L$7-VLOOKUP($G$123,$I$124:$K$142,3,FALSE)&lt;0,$O$146,ROUND((1-($L$7-VLOOKUP($G$123,$I$124:$K$142,3,FALSE))/($L$7+1-$L$5))*$O$146,0))</f>
        <v>0</v>
      </c>
      <c r="P147" s="33"/>
      <c r="Q147" s="108"/>
    </row>
    <row r="148" spans="1:17" ht="13.5" customHeight="1" x14ac:dyDescent="0.3">
      <c r="A148" s="415"/>
      <c r="B148" s="226"/>
      <c r="C148" s="118" t="s">
        <v>180</v>
      </c>
      <c r="D148" s="118"/>
      <c r="E148" s="118"/>
      <c r="F148" s="227">
        <v>0.5</v>
      </c>
      <c r="G148" s="430"/>
      <c r="H148" s="431"/>
      <c r="I148" s="431"/>
      <c r="J148" s="431"/>
      <c r="K148" s="432"/>
      <c r="L148" s="154" t="s">
        <v>181</v>
      </c>
      <c r="M148" s="113">
        <f>VLOOKUP($G$123+1,$I$124:$J$142,2,FALSE)</f>
        <v>0.5</v>
      </c>
      <c r="N148" s="250" t="s">
        <v>182</v>
      </c>
      <c r="O148" s="340">
        <f>O146-O147</f>
        <v>0</v>
      </c>
      <c r="P148" s="33"/>
    </row>
    <row r="149" spans="1:17" ht="13.5" customHeight="1" x14ac:dyDescent="0.3">
      <c r="A149" s="415"/>
      <c r="B149" s="226"/>
      <c r="C149" s="118" t="s">
        <v>183</v>
      </c>
      <c r="D149" s="118"/>
      <c r="E149" s="118"/>
      <c r="F149" s="227">
        <v>0.36</v>
      </c>
      <c r="G149" s="430"/>
      <c r="H149" s="431"/>
      <c r="I149" s="431"/>
      <c r="J149" s="431"/>
      <c r="K149" s="432"/>
      <c r="L149" s="528" t="s">
        <v>184</v>
      </c>
      <c r="M149" s="529"/>
      <c r="N149" s="530"/>
      <c r="O149" s="341">
        <f>ROUND(M147*O147,0)</f>
        <v>0</v>
      </c>
      <c r="P149" s="33"/>
    </row>
    <row r="150" spans="1:17" ht="13.5" customHeight="1" x14ac:dyDescent="0.3">
      <c r="A150" s="415"/>
      <c r="B150" s="228"/>
      <c r="C150" s="229"/>
      <c r="D150" s="229"/>
      <c r="E150" s="229"/>
      <c r="F150" s="230"/>
      <c r="G150" s="433"/>
      <c r="H150" s="434"/>
      <c r="I150" s="434"/>
      <c r="J150" s="434"/>
      <c r="K150" s="435"/>
      <c r="L150" s="554" t="s">
        <v>185</v>
      </c>
      <c r="M150" s="555"/>
      <c r="N150" s="556"/>
      <c r="O150" s="342">
        <f>ROUND(M148*O148,0)</f>
        <v>0</v>
      </c>
      <c r="P150" s="33"/>
    </row>
    <row r="151" spans="1:17" ht="13.5" customHeight="1" x14ac:dyDescent="0.2">
      <c r="A151" s="415"/>
      <c r="B151" s="369" t="s">
        <v>186</v>
      </c>
      <c r="C151" s="370"/>
      <c r="D151" s="370"/>
      <c r="E151" s="370"/>
      <c r="F151" s="371"/>
      <c r="G151" s="545" t="s">
        <v>187</v>
      </c>
      <c r="H151" s="546"/>
      <c r="I151" s="546"/>
      <c r="J151" s="546"/>
      <c r="K151" s="546"/>
      <c r="L151" s="546"/>
      <c r="M151" s="546"/>
      <c r="N151" s="546"/>
      <c r="O151" s="547"/>
      <c r="P151" s="155"/>
    </row>
    <row r="152" spans="1:17" ht="13.5" customHeight="1" x14ac:dyDescent="0.2">
      <c r="A152" s="415"/>
      <c r="B152" s="226"/>
      <c r="C152" s="118" t="s">
        <v>188</v>
      </c>
      <c r="D152" s="118"/>
      <c r="E152" s="118"/>
      <c r="F152" s="227">
        <v>0.26</v>
      </c>
      <c r="G152" s="548"/>
      <c r="H152" s="549"/>
      <c r="I152" s="549"/>
      <c r="J152" s="549"/>
      <c r="K152" s="549"/>
      <c r="L152" s="549"/>
      <c r="M152" s="549"/>
      <c r="N152" s="549"/>
      <c r="O152" s="550"/>
      <c r="P152" s="155"/>
    </row>
    <row r="153" spans="1:17" ht="14.25" customHeight="1" thickBot="1" x14ac:dyDescent="0.25">
      <c r="A153" s="416"/>
      <c r="B153" s="226"/>
      <c r="C153" s="118"/>
      <c r="D153" s="118"/>
      <c r="E153" s="118"/>
      <c r="F153" s="227"/>
      <c r="G153" s="551"/>
      <c r="H153" s="552"/>
      <c r="I153" s="552"/>
      <c r="J153" s="552"/>
      <c r="K153" s="552"/>
      <c r="L153" s="552"/>
      <c r="M153" s="552"/>
      <c r="N153" s="552"/>
      <c r="O153" s="553"/>
      <c r="P153" s="155"/>
    </row>
    <row r="154" spans="1:17" ht="18" customHeight="1" thickBot="1" x14ac:dyDescent="0.25">
      <c r="A154" s="417"/>
      <c r="B154" s="417"/>
      <c r="C154" s="417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31"/>
    </row>
    <row r="155" spans="1:17" ht="17.100000000000001" customHeight="1" x14ac:dyDescent="0.25">
      <c r="A155" s="398" t="s">
        <v>189</v>
      </c>
      <c r="B155" s="399"/>
      <c r="C155" s="404" t="s">
        <v>190</v>
      </c>
      <c r="D155" s="405"/>
      <c r="E155" s="405"/>
      <c r="F155" s="410"/>
      <c r="G155" s="411"/>
      <c r="H155" s="17"/>
      <c r="I155" s="414" t="s">
        <v>191</v>
      </c>
      <c r="J155" s="438" t="str">
        <f>K3</f>
        <v>Period 7</v>
      </c>
      <c r="K155" s="453" t="s">
        <v>192</v>
      </c>
      <c r="L155" s="454"/>
      <c r="M155" s="454"/>
      <c r="N155" s="455"/>
      <c r="O155" s="343">
        <f>O37+O83+O66+O87+O69+O99+O92</f>
        <v>0</v>
      </c>
      <c r="P155" s="156"/>
    </row>
    <row r="156" spans="1:17" ht="17.100000000000001" customHeight="1" x14ac:dyDescent="0.25">
      <c r="A156" s="400"/>
      <c r="B156" s="401"/>
      <c r="C156" s="407"/>
      <c r="D156" s="408"/>
      <c r="E156" s="408"/>
      <c r="F156" s="412"/>
      <c r="G156" s="413"/>
      <c r="H156" s="17"/>
      <c r="I156" s="415"/>
      <c r="J156" s="439"/>
      <c r="K156" s="444" t="s">
        <v>193</v>
      </c>
      <c r="L156" s="445"/>
      <c r="M156" s="445"/>
      <c r="N156" s="446"/>
      <c r="O156" s="344">
        <f>O149+O150</f>
        <v>0</v>
      </c>
      <c r="P156" s="156"/>
      <c r="Q156" s="23"/>
    </row>
    <row r="157" spans="1:17" ht="17.100000000000001" customHeight="1" thickBot="1" x14ac:dyDescent="0.3">
      <c r="A157" s="402"/>
      <c r="B157" s="403"/>
      <c r="C157" s="441" t="s">
        <v>194</v>
      </c>
      <c r="D157" s="442"/>
      <c r="E157" s="443"/>
      <c r="F157" s="394" t="str">
        <f>IF(O158&lt;&gt;0,F155/O158,"-")</f>
        <v>-</v>
      </c>
      <c r="G157" s="395"/>
      <c r="H157" s="17"/>
      <c r="I157" s="415"/>
      <c r="J157" s="439"/>
      <c r="K157" s="447" t="s">
        <v>195</v>
      </c>
      <c r="L157" s="448"/>
      <c r="M157" s="448"/>
      <c r="N157" s="449"/>
      <c r="O157" s="345">
        <f>O155+O156</f>
        <v>0</v>
      </c>
      <c r="P157" s="156"/>
    </row>
    <row r="158" spans="1:17" ht="17.100000000000001" customHeight="1" thickBot="1" x14ac:dyDescent="0.3">
      <c r="A158" s="396"/>
      <c r="B158" s="396"/>
      <c r="C158" s="396"/>
      <c r="D158" s="396"/>
      <c r="E158" s="396"/>
      <c r="F158" s="396"/>
      <c r="G158" s="396"/>
      <c r="H158" s="397"/>
      <c r="I158" s="416"/>
      <c r="J158" s="440"/>
      <c r="K158" s="450" t="s">
        <v>196</v>
      </c>
      <c r="L158" s="451"/>
      <c r="M158" s="451"/>
      <c r="N158" s="452"/>
      <c r="O158" s="346">
        <f>O157+F155</f>
        <v>0</v>
      </c>
      <c r="P158" s="156"/>
    </row>
    <row r="166" spans="17:17" x14ac:dyDescent="0.2">
      <c r="Q166" s="23"/>
    </row>
  </sheetData>
  <sheetProtection algorithmName="SHA-512" hashValue="bYJjY4Jbbf/N4qT7Q8+Gis/BHwA1NaOoF0MsBDb6vSzgnSZqiWvZEBpbqxdyi4hk9SMat50Zl34RlIkmQcBEbQ==" saltValue="jkv0KN7AvA5FrlZS8KsNkA==" spinCount="100000" sheet="1" formatRows="0" insertRows="0"/>
  <mergeCells count="224">
    <mergeCell ref="A154:O154"/>
    <mergeCell ref="A155:B157"/>
    <mergeCell ref="C155:E156"/>
    <mergeCell ref="F155:G156"/>
    <mergeCell ref="I155:I158"/>
    <mergeCell ref="J155:J158"/>
    <mergeCell ref="C157:E157"/>
    <mergeCell ref="F157:G157"/>
    <mergeCell ref="K157:N157"/>
    <mergeCell ref="A158:H158"/>
    <mergeCell ref="K158:N158"/>
    <mergeCell ref="A5:C6"/>
    <mergeCell ref="D5:F6"/>
    <mergeCell ref="K5:K6"/>
    <mergeCell ref="L5:L6"/>
    <mergeCell ref="A7:C10"/>
    <mergeCell ref="D7:F10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A36:O36"/>
    <mergeCell ref="A37:A81"/>
    <mergeCell ref="B38:C38"/>
    <mergeCell ref="G38:H38"/>
    <mergeCell ref="B39:C39"/>
    <mergeCell ref="G39:H39"/>
    <mergeCell ref="B40:C40"/>
    <mergeCell ref="G40:H40"/>
    <mergeCell ref="B41:C41"/>
    <mergeCell ref="B45:C45"/>
    <mergeCell ref="G45:H45"/>
    <mergeCell ref="B46:C46"/>
    <mergeCell ref="G46:H46"/>
    <mergeCell ref="B47:C47"/>
    <mergeCell ref="G47:H47"/>
    <mergeCell ref="G41:H41"/>
    <mergeCell ref="B42:C42"/>
    <mergeCell ref="G42:H42"/>
    <mergeCell ref="B43:C43"/>
    <mergeCell ref="G43:H43"/>
    <mergeCell ref="B44:C44"/>
    <mergeCell ref="G44:H44"/>
    <mergeCell ref="B51:C51"/>
    <mergeCell ref="G51:H51"/>
    <mergeCell ref="B52:C52"/>
    <mergeCell ref="G52:H52"/>
    <mergeCell ref="B53:C53"/>
    <mergeCell ref="G53:H53"/>
    <mergeCell ref="B48:C48"/>
    <mergeCell ref="G48:H48"/>
    <mergeCell ref="B49:C49"/>
    <mergeCell ref="G49:H49"/>
    <mergeCell ref="B50:C50"/>
    <mergeCell ref="G50:H50"/>
    <mergeCell ref="B57:C57"/>
    <mergeCell ref="G57:H57"/>
    <mergeCell ref="B58:C58"/>
    <mergeCell ref="G58:H58"/>
    <mergeCell ref="B59:C59"/>
    <mergeCell ref="G59:H59"/>
    <mergeCell ref="B54:C54"/>
    <mergeCell ref="G54:H54"/>
    <mergeCell ref="B55:C55"/>
    <mergeCell ref="G55:H55"/>
    <mergeCell ref="B56:C56"/>
    <mergeCell ref="G56:H56"/>
    <mergeCell ref="B63:C63"/>
    <mergeCell ref="G63:H63"/>
    <mergeCell ref="B64:C64"/>
    <mergeCell ref="G64:H64"/>
    <mergeCell ref="B65:C65"/>
    <mergeCell ref="G65:H65"/>
    <mergeCell ref="B60:C60"/>
    <mergeCell ref="G60:H60"/>
    <mergeCell ref="B61:C61"/>
    <mergeCell ref="G61:H61"/>
    <mergeCell ref="B62:C62"/>
    <mergeCell ref="G62:H62"/>
    <mergeCell ref="B70:N70"/>
    <mergeCell ref="B78:N78"/>
    <mergeCell ref="B79:N79"/>
    <mergeCell ref="B66:M66"/>
    <mergeCell ref="B67:N67"/>
    <mergeCell ref="B68:N68"/>
    <mergeCell ref="B69:M69"/>
    <mergeCell ref="B71:M71"/>
    <mergeCell ref="B72:M72"/>
    <mergeCell ref="B73:M73"/>
    <mergeCell ref="B74:M74"/>
    <mergeCell ref="B75:M75"/>
    <mergeCell ref="B76:M76"/>
    <mergeCell ref="B77:N77"/>
    <mergeCell ref="B89:N89"/>
    <mergeCell ref="B90:N90"/>
    <mergeCell ref="B91:N91"/>
    <mergeCell ref="B92:M92"/>
    <mergeCell ref="B93:N93"/>
    <mergeCell ref="B94:N94"/>
    <mergeCell ref="B80:N80"/>
    <mergeCell ref="B81:N81"/>
    <mergeCell ref="A82:O82"/>
    <mergeCell ref="A83:A97"/>
    <mergeCell ref="B83:M83"/>
    <mergeCell ref="B84:N84"/>
    <mergeCell ref="B85:N85"/>
    <mergeCell ref="B86:N86"/>
    <mergeCell ref="B87:M87"/>
    <mergeCell ref="B88:N88"/>
    <mergeCell ref="B95:N95"/>
    <mergeCell ref="B96:N96"/>
    <mergeCell ref="B97:N97"/>
    <mergeCell ref="B98:O98"/>
    <mergeCell ref="A99:A121"/>
    <mergeCell ref="B99:M99"/>
    <mergeCell ref="B100:B121"/>
    <mergeCell ref="C103:E103"/>
    <mergeCell ref="F103:G103"/>
    <mergeCell ref="H103:I103"/>
    <mergeCell ref="N103:O103"/>
    <mergeCell ref="C104:E104"/>
    <mergeCell ref="F104:G104"/>
    <mergeCell ref="H104:I104"/>
    <mergeCell ref="N104:O104"/>
    <mergeCell ref="C101:E101"/>
    <mergeCell ref="F101:G101"/>
    <mergeCell ref="H101:I101"/>
    <mergeCell ref="N101:O101"/>
    <mergeCell ref="C102:E102"/>
    <mergeCell ref="F102:G102"/>
    <mergeCell ref="H102:I102"/>
    <mergeCell ref="N102:O102"/>
    <mergeCell ref="C107:E107"/>
    <mergeCell ref="F107:G107"/>
    <mergeCell ref="H107:I107"/>
    <mergeCell ref="N107:O107"/>
    <mergeCell ref="C108:E108"/>
    <mergeCell ref="F108:G108"/>
    <mergeCell ref="H108:I108"/>
    <mergeCell ref="N108:O108"/>
    <mergeCell ref="C105:E105"/>
    <mergeCell ref="F105:G105"/>
    <mergeCell ref="H105:I105"/>
    <mergeCell ref="N105:O105"/>
    <mergeCell ref="C106:E106"/>
    <mergeCell ref="F106:G106"/>
    <mergeCell ref="H106:I106"/>
    <mergeCell ref="N106:O106"/>
    <mergeCell ref="C111:E111"/>
    <mergeCell ref="F111:G111"/>
    <mergeCell ref="H111:I111"/>
    <mergeCell ref="N111:O111"/>
    <mergeCell ref="C112:E112"/>
    <mergeCell ref="F112:G112"/>
    <mergeCell ref="H112:I112"/>
    <mergeCell ref="N112:O112"/>
    <mergeCell ref="C109:E109"/>
    <mergeCell ref="F109:G109"/>
    <mergeCell ref="H109:I109"/>
    <mergeCell ref="N109:O109"/>
    <mergeCell ref="C110:E110"/>
    <mergeCell ref="F110:G110"/>
    <mergeCell ref="H110:I110"/>
    <mergeCell ref="N110:O110"/>
    <mergeCell ref="C115:E115"/>
    <mergeCell ref="F115:G115"/>
    <mergeCell ref="H115:I115"/>
    <mergeCell ref="N115:O115"/>
    <mergeCell ref="C116:E116"/>
    <mergeCell ref="F116:G116"/>
    <mergeCell ref="H116:I116"/>
    <mergeCell ref="N116:O116"/>
    <mergeCell ref="C113:E113"/>
    <mergeCell ref="F113:G113"/>
    <mergeCell ref="H113:I113"/>
    <mergeCell ref="N113:O113"/>
    <mergeCell ref="C114:E114"/>
    <mergeCell ref="F114:G114"/>
    <mergeCell ref="H114:I114"/>
    <mergeCell ref="N114:O114"/>
    <mergeCell ref="F119:G119"/>
    <mergeCell ref="H119:I119"/>
    <mergeCell ref="N119:O119"/>
    <mergeCell ref="C120:E120"/>
    <mergeCell ref="F120:G120"/>
    <mergeCell ref="H120:I120"/>
    <mergeCell ref="N120:O120"/>
    <mergeCell ref="C117:E117"/>
    <mergeCell ref="F117:G117"/>
    <mergeCell ref="H117:I117"/>
    <mergeCell ref="N117:O117"/>
    <mergeCell ref="C118:E118"/>
    <mergeCell ref="F118:G118"/>
    <mergeCell ref="H118:I118"/>
    <mergeCell ref="N118:O118"/>
    <mergeCell ref="F100:G100"/>
    <mergeCell ref="H100:I100"/>
    <mergeCell ref="N100:O100"/>
    <mergeCell ref="B146:F146"/>
    <mergeCell ref="B151:F151"/>
    <mergeCell ref="B37:J37"/>
    <mergeCell ref="K37:L37"/>
    <mergeCell ref="K155:N155"/>
    <mergeCell ref="K156:N156"/>
    <mergeCell ref="L146:N146"/>
    <mergeCell ref="C121:E121"/>
    <mergeCell ref="F121:G121"/>
    <mergeCell ref="H121:I121"/>
    <mergeCell ref="A122:O122"/>
    <mergeCell ref="B144:F144"/>
    <mergeCell ref="L144:N144"/>
    <mergeCell ref="B145:F145"/>
    <mergeCell ref="L145:N145"/>
    <mergeCell ref="A144:A153"/>
    <mergeCell ref="G144:K150"/>
    <mergeCell ref="L149:N149"/>
    <mergeCell ref="L150:N150"/>
    <mergeCell ref="G151:O153"/>
    <mergeCell ref="C119:E119"/>
  </mergeCells>
  <conditionalFormatting sqref="J39:J65">
    <cfRule type="expression" dxfId="3" priority="1">
      <formula>E39&lt;&gt;"Hourly"</formula>
    </cfRule>
  </conditionalFormatting>
  <dataValidations count="2">
    <dataValidation type="list" allowBlank="1" showInputMessage="1" showErrorMessage="1" sqref="E39:E65" xr:uid="{00000000-0002-0000-0800-000000000000}">
      <formula1>$B$12:$B$17</formula1>
    </dataValidation>
    <dataValidation type="list" allowBlank="1" showInputMessage="1" showErrorMessage="1" sqref="F39:F65" xr:uid="{00000000-0002-0000-0800-000001000000}">
      <formula1>INDIRECT(E39)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66"/>
  <sheetViews>
    <sheetView topLeftCell="A71" zoomScaleNormal="100" zoomScalePageLayoutView="85" workbookViewId="0">
      <selection activeCell="B83" sqref="B83:M83"/>
    </sheetView>
  </sheetViews>
  <sheetFormatPr defaultColWidth="8.7109375" defaultRowHeight="12.75" x14ac:dyDescent="0.2"/>
  <cols>
    <col min="1" max="2" width="4.28515625" style="1" customWidth="1"/>
    <col min="3" max="3" width="23.7109375" style="1" customWidth="1"/>
    <col min="4" max="4" width="9.7109375" style="1" customWidth="1"/>
    <col min="5" max="5" width="14.7109375" style="1" customWidth="1"/>
    <col min="6" max="6" width="18.7109375" style="1" customWidth="1"/>
    <col min="7" max="7" width="6.42578125" style="1" customWidth="1"/>
    <col min="8" max="8" width="9" style="1" customWidth="1"/>
    <col min="9" max="9" width="8.7109375" style="1" customWidth="1"/>
    <col min="10" max="10" width="11.7109375" style="2" customWidth="1"/>
    <col min="11" max="11" width="13" style="2" customWidth="1"/>
    <col min="12" max="13" width="12.7109375" style="1" customWidth="1"/>
    <col min="14" max="14" width="18" style="1" customWidth="1"/>
    <col min="15" max="15" width="17.28515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7109375" style="1"/>
  </cols>
  <sheetData>
    <row r="1" spans="1:18" s="3" customFormat="1" ht="22.15" customHeight="1" x14ac:dyDescent="0.2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126"/>
    </row>
    <row r="2" spans="1:18" s="3" customFormat="1" ht="35.25" customHeight="1" thickBot="1" x14ac:dyDescent="0.3">
      <c r="A2" s="512" t="s">
        <v>60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127"/>
    </row>
    <row r="3" spans="1:18" s="3" customFormat="1" ht="12" customHeight="1" x14ac:dyDescent="0.25">
      <c r="A3" s="514" t="s">
        <v>62</v>
      </c>
      <c r="B3" s="515"/>
      <c r="C3" s="515"/>
      <c r="D3" s="571">
        <f>'Per7'!D3</f>
        <v>0</v>
      </c>
      <c r="E3" s="571"/>
      <c r="F3" s="571"/>
      <c r="G3" s="24"/>
      <c r="H3" s="122"/>
      <c r="I3" s="122"/>
      <c r="J3" s="122"/>
      <c r="K3" s="460" t="s">
        <v>208</v>
      </c>
      <c r="L3" s="461"/>
      <c r="M3" s="516" t="s">
        <v>201</v>
      </c>
      <c r="N3" s="517"/>
      <c r="O3" s="518"/>
      <c r="P3" s="28"/>
      <c r="Q3" s="14" t="s">
        <v>66</v>
      </c>
    </row>
    <row r="4" spans="1:18" ht="18.600000000000001" customHeight="1" thickBot="1" x14ac:dyDescent="0.3">
      <c r="A4" s="483"/>
      <c r="B4" s="484"/>
      <c r="C4" s="484"/>
      <c r="D4" s="567"/>
      <c r="E4" s="567"/>
      <c r="F4" s="567"/>
      <c r="G4" s="119"/>
      <c r="H4" s="123"/>
      <c r="I4" s="123"/>
      <c r="J4" s="123"/>
      <c r="K4" s="462"/>
      <c r="L4" s="463"/>
      <c r="M4" s="519" t="s">
        <v>65</v>
      </c>
      <c r="N4" s="520"/>
      <c r="O4" s="521"/>
      <c r="P4" s="128"/>
      <c r="Q4" s="255" t="s">
        <v>71</v>
      </c>
    </row>
    <row r="5" spans="1:18" ht="18" customHeight="1" thickBot="1" x14ac:dyDescent="0.3">
      <c r="A5" s="483" t="s">
        <v>67</v>
      </c>
      <c r="B5" s="484"/>
      <c r="C5" s="484"/>
      <c r="D5" s="566">
        <f>'Per7'!D5</f>
        <v>0</v>
      </c>
      <c r="E5" s="566"/>
      <c r="F5" s="566"/>
      <c r="G5" s="52"/>
      <c r="H5" s="53"/>
      <c r="I5" s="53"/>
      <c r="J5" s="35"/>
      <c r="K5" s="459" t="s">
        <v>68</v>
      </c>
      <c r="L5" s="568">
        <f>'Per7'!L7+1</f>
        <v>48092</v>
      </c>
      <c r="M5" s="129"/>
      <c r="N5" s="130" t="s">
        <v>69</v>
      </c>
      <c r="O5" s="131" t="s">
        <v>70</v>
      </c>
      <c r="P5" s="132"/>
      <c r="Q5" s="14" t="s">
        <v>73</v>
      </c>
      <c r="R5" s="133"/>
    </row>
    <row r="6" spans="1:18" ht="12" customHeight="1" thickTop="1" x14ac:dyDescent="0.25">
      <c r="A6" s="483"/>
      <c r="B6" s="484"/>
      <c r="C6" s="484"/>
      <c r="D6" s="567"/>
      <c r="E6" s="567"/>
      <c r="F6" s="567"/>
      <c r="G6" s="119"/>
      <c r="H6" s="53"/>
      <c r="I6" s="53"/>
      <c r="J6" s="35"/>
      <c r="K6" s="459"/>
      <c r="L6" s="569"/>
      <c r="M6" s="134" t="s">
        <v>72</v>
      </c>
      <c r="N6" s="356">
        <v>1453.34</v>
      </c>
      <c r="O6" s="357">
        <v>726.68</v>
      </c>
      <c r="P6" s="135"/>
      <c r="Q6" s="1" t="s">
        <v>77</v>
      </c>
    </row>
    <row r="7" spans="1:18" ht="12" customHeight="1" x14ac:dyDescent="0.25">
      <c r="A7" s="483" t="s">
        <v>198</v>
      </c>
      <c r="B7" s="484"/>
      <c r="C7" s="484"/>
      <c r="D7" s="576">
        <f>'Per7'!D7</f>
        <v>0</v>
      </c>
      <c r="E7" s="576"/>
      <c r="F7" s="576"/>
      <c r="G7" s="55"/>
      <c r="H7" s="54"/>
      <c r="I7" s="54"/>
      <c r="J7" s="35"/>
      <c r="K7" s="459" t="s">
        <v>75</v>
      </c>
      <c r="L7" s="570">
        <f>EDATE(L5,12)-1</f>
        <v>48457</v>
      </c>
      <c r="M7" s="136" t="s">
        <v>76</v>
      </c>
      <c r="N7" s="358">
        <v>1041.9000000000001</v>
      </c>
      <c r="O7" s="359">
        <v>520.96</v>
      </c>
      <c r="P7" s="135"/>
    </row>
    <row r="8" spans="1:18" ht="12.75" customHeight="1" x14ac:dyDescent="0.25">
      <c r="A8" s="483"/>
      <c r="B8" s="484"/>
      <c r="C8" s="484"/>
      <c r="D8" s="572"/>
      <c r="E8" s="572"/>
      <c r="F8" s="572"/>
      <c r="G8" s="55"/>
      <c r="H8" s="54"/>
      <c r="I8" s="54"/>
      <c r="K8" s="459"/>
      <c r="L8" s="569"/>
      <c r="M8" s="136" t="s">
        <v>78</v>
      </c>
      <c r="N8" s="358">
        <v>1189.2</v>
      </c>
      <c r="O8" s="359">
        <v>594.6</v>
      </c>
      <c r="P8" s="135"/>
    </row>
    <row r="9" spans="1:18" ht="12.75" customHeight="1" x14ac:dyDescent="0.25">
      <c r="A9" s="483"/>
      <c r="B9" s="484"/>
      <c r="C9" s="484"/>
      <c r="D9" s="572"/>
      <c r="E9" s="572"/>
      <c r="F9" s="572"/>
      <c r="G9" s="55"/>
      <c r="H9" s="54"/>
      <c r="I9" s="54"/>
      <c r="K9" s="251"/>
      <c r="L9" s="252"/>
      <c r="M9" s="253" t="s">
        <v>79</v>
      </c>
      <c r="N9" s="360">
        <v>780.24</v>
      </c>
      <c r="O9" s="361">
        <v>390.12</v>
      </c>
      <c r="P9" s="135"/>
    </row>
    <row r="10" spans="1:18" ht="12" customHeight="1" thickBot="1" x14ac:dyDescent="0.3">
      <c r="A10" s="485"/>
      <c r="B10" s="486"/>
      <c r="C10" s="486"/>
      <c r="D10" s="573"/>
      <c r="E10" s="573"/>
      <c r="F10" s="573"/>
      <c r="G10" s="56"/>
      <c r="H10" s="25"/>
      <c r="I10" s="120"/>
      <c r="J10" s="120"/>
      <c r="K10" s="120"/>
      <c r="L10" s="26"/>
      <c r="M10" s="137" t="s">
        <v>80</v>
      </c>
      <c r="N10" s="362" t="s">
        <v>81</v>
      </c>
      <c r="O10" s="363">
        <v>746.09</v>
      </c>
      <c r="P10" s="135"/>
    </row>
    <row r="11" spans="1:18" ht="13.5" hidden="1" thickBot="1" x14ac:dyDescent="0.25">
      <c r="B11" s="210"/>
      <c r="C11" s="210"/>
      <c r="D11" s="210"/>
      <c r="E11" s="279" t="s">
        <v>82</v>
      </c>
      <c r="F11" s="305" t="s">
        <v>83</v>
      </c>
      <c r="G11" s="306" t="s">
        <v>84</v>
      </c>
      <c r="H11" s="307" t="s">
        <v>85</v>
      </c>
      <c r="I11" s="211" t="s">
        <v>86</v>
      </c>
      <c r="J11" s="308" t="s">
        <v>87</v>
      </c>
      <c r="K11" s="210"/>
      <c r="L11" s="210"/>
      <c r="M11" s="210"/>
      <c r="N11" s="211" t="s">
        <v>88</v>
      </c>
      <c r="O11" s="212">
        <v>0</v>
      </c>
      <c r="P11" s="138"/>
    </row>
    <row r="12" spans="1:18" hidden="1" x14ac:dyDescent="0.2">
      <c r="B12" s="279" t="s">
        <v>82</v>
      </c>
      <c r="C12" s="275">
        <f>1/900</f>
        <v>1.1111111111111111E-3</v>
      </c>
      <c r="D12" s="213"/>
      <c r="E12" s="287" t="s">
        <v>88</v>
      </c>
      <c r="F12" s="280" t="s">
        <v>88</v>
      </c>
      <c r="G12" s="297" t="s">
        <v>88</v>
      </c>
      <c r="H12" s="298" t="s">
        <v>88</v>
      </c>
      <c r="I12" s="210" t="s">
        <v>88</v>
      </c>
      <c r="J12" s="293" t="s">
        <v>88</v>
      </c>
      <c r="K12" s="279" t="str">
        <f>B12&amp;M6</f>
        <v>FT_BE_09Emp/Family</v>
      </c>
      <c r="L12" s="273">
        <f>N6</f>
        <v>1453.34</v>
      </c>
      <c r="M12" s="274">
        <v>0.18</v>
      </c>
      <c r="N12" s="275">
        <v>100</v>
      </c>
      <c r="O12" s="210"/>
    </row>
    <row r="13" spans="1:18" hidden="1" x14ac:dyDescent="0.2">
      <c r="B13" s="283" t="s">
        <v>83</v>
      </c>
      <c r="C13" s="282">
        <f>1/1200</f>
        <v>8.3333333333333339E-4</v>
      </c>
      <c r="D13" s="213"/>
      <c r="E13" s="309" t="s">
        <v>72</v>
      </c>
      <c r="F13" s="300" t="s">
        <v>72</v>
      </c>
      <c r="G13" s="301" t="s">
        <v>72</v>
      </c>
      <c r="H13" s="298" t="s">
        <v>89</v>
      </c>
      <c r="I13" s="210"/>
      <c r="J13" s="293" t="s">
        <v>89</v>
      </c>
      <c r="K13" s="287" t="str">
        <f>B12&amp;M7</f>
        <v>FT_BE_09Emp/Child</v>
      </c>
      <c r="L13" s="294">
        <f>N7</f>
        <v>1041.9000000000001</v>
      </c>
      <c r="M13" s="277">
        <v>0.18</v>
      </c>
      <c r="N13" s="278">
        <v>100</v>
      </c>
      <c r="O13" s="210"/>
    </row>
    <row r="14" spans="1:18" hidden="1" x14ac:dyDescent="0.2">
      <c r="B14" s="284" t="s">
        <v>84</v>
      </c>
      <c r="C14" s="286">
        <f>1/1200</f>
        <v>8.3333333333333339E-4</v>
      </c>
      <c r="D14" s="213"/>
      <c r="E14" s="309" t="s">
        <v>76</v>
      </c>
      <c r="F14" s="300" t="s">
        <v>76</v>
      </c>
      <c r="G14" s="301" t="s">
        <v>76</v>
      </c>
      <c r="H14" s="298"/>
      <c r="I14" s="210"/>
      <c r="J14" s="293"/>
      <c r="K14" s="287" t="str">
        <f>B12&amp;M8</f>
        <v>FT_BE_09Emp/Spouse</v>
      </c>
      <c r="L14" s="294">
        <f>N8</f>
        <v>1189.2</v>
      </c>
      <c r="M14" s="277">
        <v>0.18</v>
      </c>
      <c r="N14" s="278">
        <v>100</v>
      </c>
      <c r="O14" s="210"/>
    </row>
    <row r="15" spans="1:18" hidden="1" x14ac:dyDescent="0.2">
      <c r="B15" s="288" t="s">
        <v>85</v>
      </c>
      <c r="C15" s="290">
        <f>1/1200</f>
        <v>8.3333333333333339E-4</v>
      </c>
      <c r="D15" s="213"/>
      <c r="E15" s="309" t="s">
        <v>78</v>
      </c>
      <c r="F15" s="300" t="s">
        <v>78</v>
      </c>
      <c r="G15" s="301" t="s">
        <v>78</v>
      </c>
      <c r="H15" s="298"/>
      <c r="I15" s="210"/>
      <c r="J15" s="293"/>
      <c r="K15" s="287" t="str">
        <f>B12&amp;M9</f>
        <v>FT_BE_09Emp Only</v>
      </c>
      <c r="L15" s="294">
        <f>N9</f>
        <v>780.24</v>
      </c>
      <c r="M15" s="277">
        <v>0.18</v>
      </c>
      <c r="N15" s="278">
        <v>100</v>
      </c>
      <c r="O15" s="210"/>
    </row>
    <row r="16" spans="1:18" hidden="1" x14ac:dyDescent="0.2">
      <c r="B16" s="291" t="s">
        <v>87</v>
      </c>
      <c r="C16" s="293">
        <v>1</v>
      </c>
      <c r="D16" s="213"/>
      <c r="E16" s="310" t="s">
        <v>79</v>
      </c>
      <c r="F16" s="302" t="s">
        <v>79</v>
      </c>
      <c r="G16" s="303" t="s">
        <v>79</v>
      </c>
      <c r="H16" s="304"/>
      <c r="I16" s="29"/>
      <c r="J16" s="311"/>
      <c r="K16" s="283" t="str">
        <f>B13&amp;M6</f>
        <v>FT_BE_12Emp/Family</v>
      </c>
      <c r="L16" s="295">
        <f>N6</f>
        <v>1453.34</v>
      </c>
      <c r="M16" s="281">
        <v>0.18</v>
      </c>
      <c r="N16" s="282">
        <v>100</v>
      </c>
      <c r="O16" s="210"/>
    </row>
    <row r="17" spans="2:15" ht="13.5" hidden="1" thickBot="1" x14ac:dyDescent="0.25">
      <c r="B17" s="215" t="s">
        <v>86</v>
      </c>
      <c r="C17" s="216">
        <v>0</v>
      </c>
      <c r="D17" s="213"/>
      <c r="E17" s="287" t="s">
        <v>89</v>
      </c>
      <c r="F17" s="300" t="s">
        <v>89</v>
      </c>
      <c r="G17" s="301" t="s">
        <v>80</v>
      </c>
      <c r="H17" s="298"/>
      <c r="I17" s="210"/>
      <c r="J17" s="293"/>
      <c r="K17" s="283" t="str">
        <f>B13&amp;M7</f>
        <v>FT_BE_12Emp/Child</v>
      </c>
      <c r="L17" s="295">
        <f t="shared" ref="L17:L19" si="0">N7</f>
        <v>1041.9000000000001</v>
      </c>
      <c r="M17" s="281">
        <v>0.18</v>
      </c>
      <c r="N17" s="282">
        <v>100</v>
      </c>
      <c r="O17" s="210"/>
    </row>
    <row r="18" spans="2:15" ht="13.5" hidden="1" thickBot="1" x14ac:dyDescent="0.25">
      <c r="B18" s="210"/>
      <c r="C18" s="210"/>
      <c r="D18" s="210"/>
      <c r="E18" s="312"/>
      <c r="F18" s="313"/>
      <c r="G18" s="314" t="s">
        <v>89</v>
      </c>
      <c r="H18" s="315"/>
      <c r="I18" s="217"/>
      <c r="J18" s="316"/>
      <c r="K18" s="283" t="str">
        <f>B13&amp;M8</f>
        <v>FT_BE_12Emp/Spouse</v>
      </c>
      <c r="L18" s="295">
        <f t="shared" si="0"/>
        <v>1189.2</v>
      </c>
      <c r="M18" s="281">
        <v>0.18</v>
      </c>
      <c r="N18" s="282">
        <v>100</v>
      </c>
      <c r="O18" s="210"/>
    </row>
    <row r="19" spans="2:15" hidden="1" x14ac:dyDescent="0.2">
      <c r="B19" s="210"/>
      <c r="C19" s="210"/>
      <c r="D19" s="210"/>
      <c r="E19" s="210"/>
      <c r="F19" s="210"/>
      <c r="G19" s="210"/>
      <c r="H19" s="210"/>
      <c r="I19" s="210"/>
      <c r="J19" s="210"/>
      <c r="K19" s="283" t="str">
        <f>B13&amp;M9</f>
        <v>FT_BE_12Emp Only</v>
      </c>
      <c r="L19" s="295">
        <f t="shared" si="0"/>
        <v>780.24</v>
      </c>
      <c r="M19" s="281">
        <v>0.18</v>
      </c>
      <c r="N19" s="282">
        <v>100</v>
      </c>
      <c r="O19" s="210"/>
    </row>
    <row r="20" spans="2:15" hidden="1" x14ac:dyDescent="0.2">
      <c r="B20" s="210"/>
      <c r="C20" s="210"/>
      <c r="D20" s="210"/>
      <c r="E20" s="210"/>
      <c r="F20" s="210"/>
      <c r="G20" s="210"/>
      <c r="H20" s="210"/>
      <c r="I20" s="210"/>
      <c r="J20" s="210"/>
      <c r="K20" s="283" t="str">
        <f>B13&amp;F17</f>
        <v>FT_BE_12None</v>
      </c>
      <c r="L20" s="295">
        <v>0</v>
      </c>
      <c r="M20" s="281">
        <v>0.18</v>
      </c>
      <c r="N20" s="282">
        <v>0</v>
      </c>
      <c r="O20" s="210"/>
    </row>
    <row r="21" spans="2:15" hidden="1" x14ac:dyDescent="0.2">
      <c r="B21" s="210"/>
      <c r="C21" s="210"/>
      <c r="D21" s="210"/>
      <c r="E21" s="210"/>
      <c r="F21" s="210"/>
      <c r="G21" s="210"/>
      <c r="H21" s="210"/>
      <c r="I21" s="210"/>
      <c r="J21" s="210"/>
      <c r="K21" s="284" t="str">
        <f>B14&amp;M6</f>
        <v>PT_BE_12Emp/Family</v>
      </c>
      <c r="L21" s="296">
        <f>N6</f>
        <v>1453.34</v>
      </c>
      <c r="M21" s="285">
        <v>0.18</v>
      </c>
      <c r="N21" s="286">
        <v>50</v>
      </c>
      <c r="O21" s="210"/>
    </row>
    <row r="22" spans="2:15" hidden="1" x14ac:dyDescent="0.2">
      <c r="B22" s="210"/>
      <c r="C22" s="210"/>
      <c r="D22" s="210"/>
      <c r="E22" s="210"/>
      <c r="F22" s="210"/>
      <c r="G22" s="210"/>
      <c r="H22" s="210"/>
      <c r="I22" s="210"/>
      <c r="J22" s="210"/>
      <c r="K22" s="284" t="str">
        <f>B14&amp;M7</f>
        <v>PT_BE_12Emp/Child</v>
      </c>
      <c r="L22" s="296">
        <f t="shared" ref="L22:L24" si="1">N7</f>
        <v>1041.9000000000001</v>
      </c>
      <c r="M22" s="285">
        <v>0.18</v>
      </c>
      <c r="N22" s="286">
        <v>50</v>
      </c>
      <c r="O22" s="210"/>
    </row>
    <row r="23" spans="2:15" hidden="1" x14ac:dyDescent="0.2">
      <c r="B23" s="210"/>
      <c r="C23" s="210"/>
      <c r="D23" s="210"/>
      <c r="E23" s="210"/>
      <c r="F23" s="210"/>
      <c r="G23" s="210"/>
      <c r="H23" s="210"/>
      <c r="I23" s="210"/>
      <c r="J23" s="210"/>
      <c r="K23" s="284" t="str">
        <f>B14&amp;M8</f>
        <v>PT_BE_12Emp/Spouse</v>
      </c>
      <c r="L23" s="296">
        <f t="shared" si="1"/>
        <v>1189.2</v>
      </c>
      <c r="M23" s="285">
        <v>0.18</v>
      </c>
      <c r="N23" s="286">
        <v>50</v>
      </c>
      <c r="O23" s="210"/>
    </row>
    <row r="24" spans="2:15" hidden="1" x14ac:dyDescent="0.2">
      <c r="B24" s="210"/>
      <c r="C24" s="210"/>
      <c r="D24" s="210"/>
      <c r="E24" s="210"/>
      <c r="F24" s="210"/>
      <c r="G24" s="210"/>
      <c r="H24" s="210"/>
      <c r="I24" s="210"/>
      <c r="J24" s="210"/>
      <c r="K24" s="284" t="str">
        <f>B14&amp;M9</f>
        <v>PT_BE_12Emp Only</v>
      </c>
      <c r="L24" s="296">
        <f t="shared" si="1"/>
        <v>780.24</v>
      </c>
      <c r="M24" s="285">
        <v>0.18</v>
      </c>
      <c r="N24" s="286">
        <v>50</v>
      </c>
      <c r="O24" s="210"/>
    </row>
    <row r="25" spans="2:15" hidden="1" x14ac:dyDescent="0.2">
      <c r="B25" s="210"/>
      <c r="C25" s="210"/>
      <c r="D25" s="210"/>
      <c r="E25" s="210"/>
      <c r="F25" s="210"/>
      <c r="G25" s="210"/>
      <c r="H25" s="210"/>
      <c r="I25" s="210"/>
      <c r="J25" s="210"/>
      <c r="K25" s="284" t="str">
        <f>B14&amp;G17</f>
        <v>PT_BE_12Grad Res Asst</v>
      </c>
      <c r="L25" s="296">
        <f>O10</f>
        <v>746.09</v>
      </c>
      <c r="M25" s="285">
        <v>0.08</v>
      </c>
      <c r="N25" s="286">
        <v>100</v>
      </c>
      <c r="O25" s="210"/>
    </row>
    <row r="26" spans="2:15" hidden="1" x14ac:dyDescent="0.2">
      <c r="B26" s="210"/>
      <c r="C26" s="210"/>
      <c r="D26" s="210"/>
      <c r="E26" s="210"/>
      <c r="F26" s="210"/>
      <c r="G26" s="210"/>
      <c r="H26" s="210"/>
      <c r="I26" s="210"/>
      <c r="J26" s="210"/>
      <c r="K26" s="284" t="str">
        <f>B14&amp;G18</f>
        <v>PT_BE_12None</v>
      </c>
      <c r="L26" s="296">
        <v>0</v>
      </c>
      <c r="M26" s="285">
        <v>0.08</v>
      </c>
      <c r="N26" s="286">
        <v>0</v>
      </c>
      <c r="O26" s="210"/>
    </row>
    <row r="27" spans="2:15" hidden="1" x14ac:dyDescent="0.2">
      <c r="B27" s="210"/>
      <c r="C27" s="210"/>
      <c r="D27" s="210"/>
      <c r="E27" s="210"/>
      <c r="F27" s="210"/>
      <c r="G27" s="210"/>
      <c r="H27" s="210"/>
      <c r="I27" s="210"/>
      <c r="J27" s="210"/>
      <c r="K27" s="284" t="str">
        <f>B14&amp;G12</f>
        <v>PT_BE_12Select One</v>
      </c>
      <c r="L27" s="297">
        <v>0</v>
      </c>
      <c r="M27" s="285">
        <v>0</v>
      </c>
      <c r="N27" s="286">
        <v>0</v>
      </c>
      <c r="O27" s="210"/>
    </row>
    <row r="28" spans="2:15" hidden="1" x14ac:dyDescent="0.2">
      <c r="B28" s="210"/>
      <c r="C28" s="210"/>
      <c r="D28" s="210"/>
      <c r="E28" s="210"/>
      <c r="F28" s="210"/>
      <c r="G28" s="210"/>
      <c r="H28" s="210"/>
      <c r="I28" s="210"/>
      <c r="J28" s="210"/>
      <c r="K28" s="288" t="str">
        <f>B15&amp;H13</f>
        <v>PT_NB_12None</v>
      </c>
      <c r="L28" s="298">
        <v>0</v>
      </c>
      <c r="M28" s="289">
        <v>0.08</v>
      </c>
      <c r="N28" s="290">
        <v>0</v>
      </c>
      <c r="O28" s="210"/>
    </row>
    <row r="29" spans="2:15" hidden="1" x14ac:dyDescent="0.2">
      <c r="B29" s="210"/>
      <c r="C29" s="210"/>
      <c r="D29" s="210"/>
      <c r="E29" s="210"/>
      <c r="F29" s="210"/>
      <c r="G29" s="210"/>
      <c r="H29" s="210"/>
      <c r="I29" s="210"/>
      <c r="J29" s="210"/>
      <c r="K29" s="291" t="str">
        <f>B16&amp;J13</f>
        <v>HourlyNone</v>
      </c>
      <c r="L29" s="299">
        <v>0</v>
      </c>
      <c r="M29" s="292">
        <v>0.08</v>
      </c>
      <c r="N29" s="293">
        <v>0</v>
      </c>
      <c r="O29" s="210"/>
    </row>
    <row r="30" spans="2:15" hidden="1" x14ac:dyDescent="0.2">
      <c r="B30" s="210"/>
      <c r="C30" s="210"/>
      <c r="D30" s="210"/>
      <c r="E30" s="210"/>
      <c r="F30" s="210"/>
      <c r="G30" s="210"/>
      <c r="H30" s="210"/>
      <c r="I30" s="210"/>
      <c r="J30" s="210"/>
      <c r="K30" s="287" t="str">
        <f>B12&amp;E12</f>
        <v>FT_BE_09Select One</v>
      </c>
      <c r="L30" s="276">
        <v>0</v>
      </c>
      <c r="M30" s="277">
        <v>0</v>
      </c>
      <c r="N30" s="278">
        <v>0</v>
      </c>
      <c r="O30" s="210"/>
    </row>
    <row r="31" spans="2:15" hidden="1" x14ac:dyDescent="0.2">
      <c r="B31" s="210"/>
      <c r="C31" s="210"/>
      <c r="D31" s="210"/>
      <c r="E31" s="210"/>
      <c r="F31" s="210"/>
      <c r="G31" s="210"/>
      <c r="H31" s="210"/>
      <c r="I31" s="210"/>
      <c r="J31" s="210"/>
      <c r="K31" s="283" t="str">
        <f>B13&amp;F12</f>
        <v>FT_BE_12Select One</v>
      </c>
      <c r="L31" s="280">
        <v>0</v>
      </c>
      <c r="M31" s="281">
        <v>0</v>
      </c>
      <c r="N31" s="282">
        <v>0</v>
      </c>
      <c r="O31" s="210"/>
    </row>
    <row r="32" spans="2:15" hidden="1" x14ac:dyDescent="0.2">
      <c r="B32" s="210"/>
      <c r="C32" s="210"/>
      <c r="D32" s="210"/>
      <c r="E32" s="210"/>
      <c r="F32" s="210"/>
      <c r="G32" s="210"/>
      <c r="H32" s="210"/>
      <c r="I32" s="210"/>
      <c r="J32" s="210"/>
      <c r="K32" s="287" t="str">
        <f>B12&amp;E17</f>
        <v>FT_BE_09None</v>
      </c>
      <c r="L32" s="276">
        <v>0</v>
      </c>
      <c r="M32" s="277">
        <v>0.18</v>
      </c>
      <c r="N32" s="278">
        <v>0</v>
      </c>
      <c r="O32" s="210"/>
    </row>
    <row r="33" spans="1:19" hidden="1" x14ac:dyDescent="0.2">
      <c r="B33" s="210"/>
      <c r="C33" s="210"/>
      <c r="D33" s="210"/>
      <c r="E33" s="210"/>
      <c r="F33" s="210"/>
      <c r="G33" s="210"/>
      <c r="H33" s="210"/>
      <c r="I33" s="210"/>
      <c r="J33" s="210"/>
      <c r="K33" s="288" t="str">
        <f>B15&amp;H12</f>
        <v>PT_NB_12Select One</v>
      </c>
      <c r="L33" s="298">
        <v>0</v>
      </c>
      <c r="M33" s="289">
        <v>0</v>
      </c>
      <c r="N33" s="290">
        <v>0</v>
      </c>
      <c r="O33" s="210"/>
    </row>
    <row r="34" spans="1:19" hidden="1" x14ac:dyDescent="0.2">
      <c r="B34" s="210"/>
      <c r="C34" s="210"/>
      <c r="D34" s="210"/>
      <c r="E34" s="210"/>
      <c r="F34" s="210"/>
      <c r="G34" s="210"/>
      <c r="H34" s="210"/>
      <c r="I34" s="210"/>
      <c r="J34" s="210"/>
      <c r="K34" s="291" t="str">
        <f>B16&amp;J12</f>
        <v>HourlySelect One</v>
      </c>
      <c r="L34" s="299">
        <v>0</v>
      </c>
      <c r="M34" s="292">
        <v>0</v>
      </c>
      <c r="N34" s="293">
        <v>0</v>
      </c>
      <c r="O34" s="210"/>
    </row>
    <row r="35" spans="1:19" ht="13.5" hidden="1" thickBot="1" x14ac:dyDescent="0.25">
      <c r="B35" s="210"/>
      <c r="C35" s="210"/>
      <c r="D35" s="210"/>
      <c r="E35" s="210"/>
      <c r="F35" s="210"/>
      <c r="G35" s="210"/>
      <c r="H35" s="210"/>
      <c r="I35" s="210"/>
      <c r="J35" s="210"/>
      <c r="K35" s="215" t="str">
        <f>B17&amp;I12</f>
        <v>SelectSelect One</v>
      </c>
      <c r="L35" s="217"/>
      <c r="M35" s="317"/>
      <c r="N35" s="216"/>
      <c r="O35" s="210"/>
    </row>
    <row r="36" spans="1:19" ht="18" customHeight="1" thickBot="1" x14ac:dyDescent="0.25">
      <c r="A36" s="490"/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</row>
    <row r="37" spans="1:19" ht="13.5" customHeight="1" x14ac:dyDescent="0.2">
      <c r="A37" s="414" t="s">
        <v>90</v>
      </c>
      <c r="B37" s="494" t="s">
        <v>91</v>
      </c>
      <c r="C37" s="495"/>
      <c r="D37" s="495"/>
      <c r="E37" s="495"/>
      <c r="F37" s="495"/>
      <c r="G37" s="495"/>
      <c r="H37" s="495"/>
      <c r="I37" s="495"/>
      <c r="J37" s="495"/>
      <c r="K37" s="496" t="s">
        <v>92</v>
      </c>
      <c r="L37" s="497"/>
      <c r="M37" s="324">
        <f>SUM(M39:M65)</f>
        <v>0</v>
      </c>
      <c r="N37" s="324">
        <f>SUM(N39:N65)</f>
        <v>0</v>
      </c>
      <c r="O37" s="325">
        <f>SUM(O39:O65)</f>
        <v>0</v>
      </c>
    </row>
    <row r="38" spans="1:19" ht="49.9" customHeight="1" x14ac:dyDescent="0.2">
      <c r="A38" s="415"/>
      <c r="B38" s="491" t="s">
        <v>93</v>
      </c>
      <c r="C38" s="491"/>
      <c r="D38" s="34" t="s">
        <v>94</v>
      </c>
      <c r="E38" s="34" t="s">
        <v>95</v>
      </c>
      <c r="F38" s="140" t="s">
        <v>96</v>
      </c>
      <c r="G38" s="492" t="s">
        <v>97</v>
      </c>
      <c r="H38" s="493"/>
      <c r="I38" s="34" t="s">
        <v>98</v>
      </c>
      <c r="J38" s="34" t="s">
        <v>99</v>
      </c>
      <c r="K38" s="34" t="s">
        <v>100</v>
      </c>
      <c r="L38" s="34" t="s">
        <v>101</v>
      </c>
      <c r="M38" s="34" t="s">
        <v>205</v>
      </c>
      <c r="N38" s="34" t="s">
        <v>206</v>
      </c>
      <c r="O38" s="141" t="s">
        <v>104</v>
      </c>
      <c r="P38" s="142"/>
      <c r="S38" s="5"/>
    </row>
    <row r="39" spans="1:19" ht="13.5" customHeight="1" x14ac:dyDescent="0.2">
      <c r="A39" s="415"/>
      <c r="B39" s="383" t="str">
        <f>IF('Per7'!B39&lt;&gt;"",'Per7'!B39,"")</f>
        <v/>
      </c>
      <c r="C39" s="383"/>
      <c r="D39" s="60" t="str">
        <f>IF('Per7'!D39&lt;&gt;"",'Per7'!D39,"")</f>
        <v/>
      </c>
      <c r="E39" s="143" t="str">
        <f>'Per1'!E39</f>
        <v>Select</v>
      </c>
      <c r="F39" s="144" t="str">
        <f>'Per1'!F39</f>
        <v>Select One</v>
      </c>
      <c r="G39" s="481">
        <f>IF(E39="Hourly",ROUND('Per7'!G39*1.03,2),ROUND('Per7'!G39*1.03,0))</f>
        <v>0</v>
      </c>
      <c r="H39" s="482"/>
      <c r="I39" s="6"/>
      <c r="J39" s="27"/>
      <c r="K39" s="209">
        <f>IF(E39="Hourly",I39*J39/173.33,I39*J39/100)</f>
        <v>0</v>
      </c>
      <c r="L39" s="7" t="str">
        <f t="shared" ref="L39:L65" si="2">IF(M39&lt;&gt;0,SUM(N39/M39),"-")</f>
        <v>-</v>
      </c>
      <c r="M39" s="19">
        <f t="shared" ref="M39:M65" si="3">ROUND((G39*I39*J39*VLOOKUP(E39,$B$12:$C$17,2,FALSE)),0)</f>
        <v>0</v>
      </c>
      <c r="N39" s="19">
        <f t="shared" ref="N39:N65" si="4">ROUND(M39*VLOOKUP(E39&amp;F39,$K$12:$N$35,3,FALSE)+VLOOKUP(E39&amp;F39,$K$12:$N$35,2,FALSE)*MIN(J39,VLOOKUP(E39&amp;F39,$K$12:$N$35,4,FALSE))*I39/100,0)</f>
        <v>0</v>
      </c>
      <c r="O39" s="20">
        <f t="shared" ref="O39:O65" si="5">M39+N39</f>
        <v>0</v>
      </c>
      <c r="P39" s="145"/>
      <c r="Q39" s="14" t="s">
        <v>105</v>
      </c>
      <c r="S39" s="133"/>
    </row>
    <row r="40" spans="1:19" ht="13.5" customHeight="1" x14ac:dyDescent="0.2">
      <c r="A40" s="415"/>
      <c r="B40" s="383" t="str">
        <f>IF('Per7'!B40&lt;&gt;"",'Per7'!B40,"")</f>
        <v/>
      </c>
      <c r="C40" s="383"/>
      <c r="D40" s="60" t="str">
        <f>IF('Per7'!D40&lt;&gt;"",'Per7'!D40,"")</f>
        <v/>
      </c>
      <c r="E40" s="143" t="str">
        <f>'Per1'!E40</f>
        <v>Select</v>
      </c>
      <c r="F40" s="144" t="str">
        <f>'Per1'!F40</f>
        <v>Select One</v>
      </c>
      <c r="G40" s="481">
        <f>IF(E40="Hourly",ROUND('Per7'!G40*1.03,2),ROUND('Per7'!G40*1.03,0))</f>
        <v>0</v>
      </c>
      <c r="H40" s="482"/>
      <c r="I40" s="6"/>
      <c r="J40" s="27"/>
      <c r="K40" s="209">
        <f t="shared" ref="K40:K65" si="6">IF(E40="Hourly",I40*J40/173.33,I40*J40/100)</f>
        <v>0</v>
      </c>
      <c r="L40" s="7" t="str">
        <f t="shared" si="2"/>
        <v>-</v>
      </c>
      <c r="M40" s="19">
        <f t="shared" si="3"/>
        <v>0</v>
      </c>
      <c r="N40" s="19">
        <f t="shared" si="4"/>
        <v>0</v>
      </c>
      <c r="O40" s="8">
        <f t="shared" si="5"/>
        <v>0</v>
      </c>
      <c r="P40" s="30"/>
      <c r="Q40" s="14" t="s">
        <v>106</v>
      </c>
      <c r="S40" s="133"/>
    </row>
    <row r="41" spans="1:19" ht="13.5" customHeight="1" x14ac:dyDescent="0.2">
      <c r="A41" s="415"/>
      <c r="B41" s="383" t="str">
        <f>IF('Per7'!B41&lt;&gt;"",'Per7'!B41,"")</f>
        <v/>
      </c>
      <c r="C41" s="383"/>
      <c r="D41" s="60" t="str">
        <f>IF('Per7'!D41&lt;&gt;"",'Per7'!D41,"")</f>
        <v/>
      </c>
      <c r="E41" s="143" t="str">
        <f>'Per1'!E41</f>
        <v>Select</v>
      </c>
      <c r="F41" s="144" t="str">
        <f>'Per1'!F41</f>
        <v>Select One</v>
      </c>
      <c r="G41" s="481">
        <f>IF(E41="Hourly",ROUND('Per7'!G41*1.03,2),ROUND('Per7'!G41*1.03,0))</f>
        <v>0</v>
      </c>
      <c r="H41" s="482"/>
      <c r="I41" s="6"/>
      <c r="J41" s="27"/>
      <c r="K41" s="209">
        <f t="shared" si="6"/>
        <v>0</v>
      </c>
      <c r="L41" s="7" t="str">
        <f t="shared" si="2"/>
        <v>-</v>
      </c>
      <c r="M41" s="19">
        <f t="shared" si="3"/>
        <v>0</v>
      </c>
      <c r="N41" s="19">
        <f t="shared" si="4"/>
        <v>0</v>
      </c>
      <c r="O41" s="8">
        <f t="shared" si="5"/>
        <v>0</v>
      </c>
      <c r="P41" s="30"/>
      <c r="Q41" s="14" t="s">
        <v>107</v>
      </c>
      <c r="S41" s="133"/>
    </row>
    <row r="42" spans="1:19" ht="13.5" customHeight="1" x14ac:dyDescent="0.2">
      <c r="A42" s="415"/>
      <c r="B42" s="383" t="str">
        <f>IF('Per7'!B42&lt;&gt;"",'Per7'!B42,"")</f>
        <v/>
      </c>
      <c r="C42" s="383"/>
      <c r="D42" s="60" t="str">
        <f>IF('Per7'!D42&lt;&gt;"",'Per7'!D42,"")</f>
        <v/>
      </c>
      <c r="E42" s="143" t="str">
        <f>'Per1'!E42</f>
        <v>Select</v>
      </c>
      <c r="F42" s="144" t="str">
        <f>'Per1'!F42</f>
        <v>Select One</v>
      </c>
      <c r="G42" s="481">
        <f>IF(E42="Hourly",ROUND('Per7'!G42*1.03,2),ROUND('Per7'!G42*1.03,0))</f>
        <v>0</v>
      </c>
      <c r="H42" s="482"/>
      <c r="I42" s="6"/>
      <c r="J42" s="27"/>
      <c r="K42" s="209">
        <f t="shared" si="6"/>
        <v>0</v>
      </c>
      <c r="L42" s="7" t="str">
        <f t="shared" si="2"/>
        <v>-</v>
      </c>
      <c r="M42" s="19">
        <f t="shared" si="3"/>
        <v>0</v>
      </c>
      <c r="N42" s="19">
        <f t="shared" si="4"/>
        <v>0</v>
      </c>
      <c r="O42" s="8">
        <f t="shared" si="5"/>
        <v>0</v>
      </c>
      <c r="P42" s="30"/>
      <c r="Q42" s="14" t="s">
        <v>108</v>
      </c>
      <c r="S42" s="133"/>
    </row>
    <row r="43" spans="1:19" ht="13.5" customHeight="1" x14ac:dyDescent="0.2">
      <c r="A43" s="415"/>
      <c r="B43" s="383" t="str">
        <f>IF('Per7'!B43&lt;&gt;"",'Per7'!B43,"")</f>
        <v/>
      </c>
      <c r="C43" s="383"/>
      <c r="D43" s="60" t="str">
        <f>IF('Per7'!D43&lt;&gt;"",'Per7'!D43,"")</f>
        <v/>
      </c>
      <c r="E43" s="143" t="str">
        <f>'Per1'!E43</f>
        <v>Select</v>
      </c>
      <c r="F43" s="144" t="str">
        <f>'Per1'!F43</f>
        <v>Select One</v>
      </c>
      <c r="G43" s="481">
        <f>IF(E43="Hourly",ROUND('Per7'!G43*1.03,2),ROUND('Per7'!G43*1.03,0))</f>
        <v>0</v>
      </c>
      <c r="H43" s="482"/>
      <c r="I43" s="6"/>
      <c r="J43" s="27"/>
      <c r="K43" s="209">
        <f t="shared" si="6"/>
        <v>0</v>
      </c>
      <c r="L43" s="7" t="str">
        <f t="shared" si="2"/>
        <v>-</v>
      </c>
      <c r="M43" s="19">
        <f t="shared" si="3"/>
        <v>0</v>
      </c>
      <c r="N43" s="19">
        <f t="shared" si="4"/>
        <v>0</v>
      </c>
      <c r="O43" s="8">
        <f t="shared" si="5"/>
        <v>0</v>
      </c>
      <c r="P43" s="30"/>
      <c r="Q43" s="14" t="s">
        <v>109</v>
      </c>
      <c r="S43" s="133"/>
    </row>
    <row r="44" spans="1:19" ht="13.5" customHeight="1" x14ac:dyDescent="0.2">
      <c r="A44" s="415"/>
      <c r="B44" s="383" t="str">
        <f>IF('Per7'!B44&lt;&gt;"",'Per7'!B44,"")</f>
        <v/>
      </c>
      <c r="C44" s="383"/>
      <c r="D44" s="60" t="str">
        <f>IF('Per7'!D44&lt;&gt;"",'Per7'!D44,"")</f>
        <v/>
      </c>
      <c r="E44" s="143" t="str">
        <f>'Per1'!E44</f>
        <v>Select</v>
      </c>
      <c r="F44" s="144" t="str">
        <f>'Per1'!F44</f>
        <v>Select One</v>
      </c>
      <c r="G44" s="481">
        <f>IF(E44="Hourly",ROUND('Per7'!G44*1.03,2),ROUND('Per7'!G44*1.03,0))</f>
        <v>0</v>
      </c>
      <c r="H44" s="482"/>
      <c r="I44" s="6"/>
      <c r="J44" s="27"/>
      <c r="K44" s="209">
        <f t="shared" si="6"/>
        <v>0</v>
      </c>
      <c r="L44" s="7" t="str">
        <f t="shared" si="2"/>
        <v>-</v>
      </c>
      <c r="M44" s="19">
        <f t="shared" si="3"/>
        <v>0</v>
      </c>
      <c r="N44" s="19">
        <f t="shared" si="4"/>
        <v>0</v>
      </c>
      <c r="O44" s="8">
        <f t="shared" si="5"/>
        <v>0</v>
      </c>
      <c r="P44" s="30"/>
      <c r="Q44" s="14" t="s">
        <v>110</v>
      </c>
      <c r="S44" s="146"/>
    </row>
    <row r="45" spans="1:19" ht="13.5" customHeight="1" x14ac:dyDescent="0.2">
      <c r="A45" s="415"/>
      <c r="B45" s="383" t="str">
        <f>IF('Per7'!B45&lt;&gt;"",'Per7'!B45,"")</f>
        <v/>
      </c>
      <c r="C45" s="383"/>
      <c r="D45" s="60" t="str">
        <f>IF('Per7'!D45&lt;&gt;"",'Per7'!D45,"")</f>
        <v/>
      </c>
      <c r="E45" s="143" t="str">
        <f>'Per1'!E45</f>
        <v>Select</v>
      </c>
      <c r="F45" s="144" t="str">
        <f>'Per1'!F45</f>
        <v>Select One</v>
      </c>
      <c r="G45" s="481">
        <f>IF(E45="Hourly",ROUND('Per7'!G45*1.03,2),ROUND('Per7'!G45*1.03,0))</f>
        <v>0</v>
      </c>
      <c r="H45" s="482"/>
      <c r="I45" s="6"/>
      <c r="J45" s="27"/>
      <c r="K45" s="209">
        <f t="shared" si="6"/>
        <v>0</v>
      </c>
      <c r="L45" s="7" t="str">
        <f t="shared" si="2"/>
        <v>-</v>
      </c>
      <c r="M45" s="19">
        <f t="shared" si="3"/>
        <v>0</v>
      </c>
      <c r="N45" s="19">
        <f t="shared" si="4"/>
        <v>0</v>
      </c>
      <c r="O45" s="8">
        <f t="shared" si="5"/>
        <v>0</v>
      </c>
      <c r="P45" s="30"/>
      <c r="Q45" s="14"/>
      <c r="S45" s="146"/>
    </row>
    <row r="46" spans="1:19" ht="13.5" customHeight="1" x14ac:dyDescent="0.2">
      <c r="A46" s="415"/>
      <c r="B46" s="383" t="str">
        <f>IF('Per7'!B46&lt;&gt;"",'Per7'!B46,"")</f>
        <v/>
      </c>
      <c r="C46" s="383"/>
      <c r="D46" s="60" t="str">
        <f>IF('Per7'!D46&lt;&gt;"",'Per7'!D46,"")</f>
        <v/>
      </c>
      <c r="E46" s="143" t="str">
        <f>'Per1'!E46</f>
        <v>Select</v>
      </c>
      <c r="F46" s="144" t="str">
        <f>'Per1'!F46</f>
        <v>Select One</v>
      </c>
      <c r="G46" s="481">
        <f>IF(E46="Hourly",ROUND('Per7'!G46*1.03,2),ROUND('Per7'!G46*1.03,0))</f>
        <v>0</v>
      </c>
      <c r="H46" s="482"/>
      <c r="I46" s="6"/>
      <c r="J46" s="27"/>
      <c r="K46" s="209">
        <f t="shared" si="6"/>
        <v>0</v>
      </c>
      <c r="L46" s="7" t="str">
        <f t="shared" si="2"/>
        <v>-</v>
      </c>
      <c r="M46" s="19">
        <f t="shared" si="3"/>
        <v>0</v>
      </c>
      <c r="N46" s="19">
        <f t="shared" si="4"/>
        <v>0</v>
      </c>
      <c r="O46" s="8">
        <f t="shared" si="5"/>
        <v>0</v>
      </c>
      <c r="P46" s="30"/>
      <c r="Q46" s="14"/>
      <c r="S46" s="146"/>
    </row>
    <row r="47" spans="1:19" ht="13.5" customHeight="1" x14ac:dyDescent="0.2">
      <c r="A47" s="415"/>
      <c r="B47" s="383" t="str">
        <f>IF('Per7'!B47&lt;&gt;"",'Per7'!B47,"")</f>
        <v/>
      </c>
      <c r="C47" s="383"/>
      <c r="D47" s="60" t="str">
        <f>IF('Per7'!D47&lt;&gt;"",'Per7'!D47,"")</f>
        <v/>
      </c>
      <c r="E47" s="143" t="str">
        <f>'Per1'!E47</f>
        <v>Select</v>
      </c>
      <c r="F47" s="144" t="str">
        <f>'Per1'!F47</f>
        <v>Select One</v>
      </c>
      <c r="G47" s="481">
        <f>IF(E47="Hourly",ROUND('Per7'!G47*1.03,2),ROUND('Per7'!G47*1.03,0))</f>
        <v>0</v>
      </c>
      <c r="H47" s="482"/>
      <c r="I47" s="6"/>
      <c r="J47" s="27"/>
      <c r="K47" s="209">
        <f t="shared" si="6"/>
        <v>0</v>
      </c>
      <c r="L47" s="7" t="str">
        <f t="shared" si="2"/>
        <v>-</v>
      </c>
      <c r="M47" s="19">
        <f t="shared" si="3"/>
        <v>0</v>
      </c>
      <c r="N47" s="19">
        <f t="shared" si="4"/>
        <v>0</v>
      </c>
      <c r="O47" s="8">
        <f t="shared" si="5"/>
        <v>0</v>
      </c>
      <c r="P47" s="30"/>
      <c r="Q47" s="14"/>
      <c r="S47" s="146"/>
    </row>
    <row r="48" spans="1:19" ht="13.5" customHeight="1" thickBot="1" x14ac:dyDescent="0.25">
      <c r="A48" s="415"/>
      <c r="B48" s="383" t="str">
        <f>IF('Per7'!B48&lt;&gt;"",'Per7'!B48,"")</f>
        <v/>
      </c>
      <c r="C48" s="383"/>
      <c r="D48" s="60" t="str">
        <f>IF('Per7'!D48&lt;&gt;"",'Per7'!D48,"")</f>
        <v/>
      </c>
      <c r="E48" s="143" t="str">
        <f>'Per1'!E48</f>
        <v>Select</v>
      </c>
      <c r="F48" s="144" t="str">
        <f>'Per1'!F48</f>
        <v>Select One</v>
      </c>
      <c r="G48" s="481">
        <f>IF(E48="Hourly",ROUND('Per7'!G48*1.03,2),ROUND('Per7'!G48*1.03,0))</f>
        <v>0</v>
      </c>
      <c r="H48" s="482"/>
      <c r="I48" s="6"/>
      <c r="J48" s="27"/>
      <c r="K48" s="209">
        <f t="shared" si="6"/>
        <v>0</v>
      </c>
      <c r="L48" s="7" t="str">
        <f t="shared" si="2"/>
        <v>-</v>
      </c>
      <c r="M48" s="19">
        <f t="shared" si="3"/>
        <v>0</v>
      </c>
      <c r="N48" s="19">
        <f t="shared" si="4"/>
        <v>0</v>
      </c>
      <c r="O48" s="8">
        <f t="shared" si="5"/>
        <v>0</v>
      </c>
      <c r="P48" s="30"/>
      <c r="Q48" s="14"/>
      <c r="S48" s="146"/>
    </row>
    <row r="49" spans="1:19" ht="13.5" hidden="1" customHeight="1" x14ac:dyDescent="0.2">
      <c r="A49" s="415"/>
      <c r="B49" s="383" t="str">
        <f>IF('Per7'!B49&lt;&gt;"",'Per7'!B49,"")</f>
        <v/>
      </c>
      <c r="C49" s="383"/>
      <c r="D49" s="60" t="str">
        <f>IF('Per7'!D49&lt;&gt;"",'Per7'!D49,"")</f>
        <v/>
      </c>
      <c r="E49" s="143" t="str">
        <f>'Per1'!E49</f>
        <v>Select</v>
      </c>
      <c r="F49" s="144" t="str">
        <f>'Per1'!F49</f>
        <v>Select One</v>
      </c>
      <c r="G49" s="481">
        <f>IF(E49="Hourly",ROUND('Per7'!G49*1.03,2),ROUND('Per7'!G49*1.03,0))</f>
        <v>0</v>
      </c>
      <c r="H49" s="482"/>
      <c r="I49" s="6"/>
      <c r="J49" s="27"/>
      <c r="K49" s="209">
        <f t="shared" si="6"/>
        <v>0</v>
      </c>
      <c r="L49" s="7" t="str">
        <f t="shared" si="2"/>
        <v>-</v>
      </c>
      <c r="M49" s="19">
        <f t="shared" si="3"/>
        <v>0</v>
      </c>
      <c r="N49" s="19">
        <f t="shared" si="4"/>
        <v>0</v>
      </c>
      <c r="O49" s="8">
        <f t="shared" si="5"/>
        <v>0</v>
      </c>
      <c r="P49" s="30"/>
      <c r="Q49" s="224" t="s">
        <v>111</v>
      </c>
      <c r="S49" s="146"/>
    </row>
    <row r="50" spans="1:19" ht="13.5" hidden="1" customHeight="1" x14ac:dyDescent="0.2">
      <c r="A50" s="415"/>
      <c r="B50" s="383" t="str">
        <f>IF('Per7'!B50&lt;&gt;"",'Per7'!B50,"")</f>
        <v/>
      </c>
      <c r="C50" s="383"/>
      <c r="D50" s="60" t="str">
        <f>IF('Per7'!D50&lt;&gt;"",'Per7'!D50,"")</f>
        <v/>
      </c>
      <c r="E50" s="143" t="str">
        <f>'Per1'!E50</f>
        <v>Select</v>
      </c>
      <c r="F50" s="144" t="str">
        <f>'Per1'!F50</f>
        <v>Select One</v>
      </c>
      <c r="G50" s="481">
        <f>IF(E50="Hourly",ROUND('Per7'!G50*1.03,2),ROUND('Per7'!G50*1.03,0))</f>
        <v>0</v>
      </c>
      <c r="H50" s="482"/>
      <c r="I50" s="6"/>
      <c r="J50" s="27"/>
      <c r="K50" s="209">
        <f t="shared" si="6"/>
        <v>0</v>
      </c>
      <c r="L50" s="7" t="str">
        <f t="shared" si="2"/>
        <v>-</v>
      </c>
      <c r="M50" s="19">
        <f t="shared" si="3"/>
        <v>0</v>
      </c>
      <c r="N50" s="19">
        <f t="shared" si="4"/>
        <v>0</v>
      </c>
      <c r="O50" s="8">
        <f t="shared" si="5"/>
        <v>0</v>
      </c>
      <c r="P50" s="30"/>
      <c r="Q50" s="14"/>
      <c r="S50" s="146"/>
    </row>
    <row r="51" spans="1:19" ht="13.5" hidden="1" customHeight="1" x14ac:dyDescent="0.2">
      <c r="A51" s="415"/>
      <c r="B51" s="383" t="str">
        <f>IF('Per7'!B51&lt;&gt;"",'Per7'!B51,"")</f>
        <v/>
      </c>
      <c r="C51" s="383"/>
      <c r="D51" s="60" t="str">
        <f>IF('Per7'!D51&lt;&gt;"",'Per7'!D51,"")</f>
        <v/>
      </c>
      <c r="E51" s="143" t="str">
        <f>'Per1'!E51</f>
        <v>Select</v>
      </c>
      <c r="F51" s="144" t="str">
        <f>'Per1'!F51</f>
        <v>Select One</v>
      </c>
      <c r="G51" s="481">
        <f>IF(E51="Hourly",ROUND('Per7'!G51*1.03,2),ROUND('Per7'!G51*1.03,0))</f>
        <v>0</v>
      </c>
      <c r="H51" s="482"/>
      <c r="I51" s="6"/>
      <c r="J51" s="27"/>
      <c r="K51" s="209">
        <f t="shared" si="6"/>
        <v>0</v>
      </c>
      <c r="L51" s="7" t="str">
        <f t="shared" si="2"/>
        <v>-</v>
      </c>
      <c r="M51" s="19">
        <f t="shared" si="3"/>
        <v>0</v>
      </c>
      <c r="N51" s="19">
        <f t="shared" si="4"/>
        <v>0</v>
      </c>
      <c r="O51" s="8">
        <f t="shared" si="5"/>
        <v>0</v>
      </c>
      <c r="P51" s="30"/>
      <c r="Q51" s="14"/>
      <c r="S51" s="146"/>
    </row>
    <row r="52" spans="1:19" ht="13.5" hidden="1" customHeight="1" x14ac:dyDescent="0.2">
      <c r="A52" s="415"/>
      <c r="B52" s="383" t="str">
        <f>IF('Per7'!B52&lt;&gt;"",'Per7'!B52,"")</f>
        <v/>
      </c>
      <c r="C52" s="383"/>
      <c r="D52" s="60" t="str">
        <f>IF('Per7'!D52&lt;&gt;"",'Per7'!D52,"")</f>
        <v/>
      </c>
      <c r="E52" s="143" t="str">
        <f>'Per1'!E52</f>
        <v>Select</v>
      </c>
      <c r="F52" s="144" t="str">
        <f>'Per1'!F52</f>
        <v>Select One</v>
      </c>
      <c r="G52" s="481">
        <f>IF(E52="Hourly",ROUND('Per7'!G52*1.03,2),ROUND('Per7'!G52*1.03,0))</f>
        <v>0</v>
      </c>
      <c r="H52" s="482"/>
      <c r="I52" s="6"/>
      <c r="J52" s="27"/>
      <c r="K52" s="209">
        <f t="shared" si="6"/>
        <v>0</v>
      </c>
      <c r="L52" s="7" t="str">
        <f t="shared" si="2"/>
        <v>-</v>
      </c>
      <c r="M52" s="19">
        <f t="shared" si="3"/>
        <v>0</v>
      </c>
      <c r="N52" s="19">
        <f t="shared" si="4"/>
        <v>0</v>
      </c>
      <c r="O52" s="8">
        <f t="shared" si="5"/>
        <v>0</v>
      </c>
      <c r="P52" s="30"/>
      <c r="Q52" s="14"/>
      <c r="S52" s="146"/>
    </row>
    <row r="53" spans="1:19" ht="13.5" hidden="1" customHeight="1" x14ac:dyDescent="0.2">
      <c r="A53" s="415"/>
      <c r="B53" s="383" t="str">
        <f>IF('Per7'!B53&lt;&gt;"",'Per7'!B53,"")</f>
        <v/>
      </c>
      <c r="C53" s="383"/>
      <c r="D53" s="60" t="str">
        <f>IF('Per7'!D53&lt;&gt;"",'Per7'!D53,"")</f>
        <v/>
      </c>
      <c r="E53" s="143" t="str">
        <f>'Per1'!E53</f>
        <v>Select</v>
      </c>
      <c r="F53" s="144" t="str">
        <f>'Per1'!F53</f>
        <v>Select One</v>
      </c>
      <c r="G53" s="481">
        <f>IF(E53="Hourly",ROUND('Per7'!G53*1.03,2),ROUND('Per7'!G53*1.03,0))</f>
        <v>0</v>
      </c>
      <c r="H53" s="482"/>
      <c r="I53" s="6"/>
      <c r="J53" s="27"/>
      <c r="K53" s="209">
        <f t="shared" si="6"/>
        <v>0</v>
      </c>
      <c r="L53" s="7" t="str">
        <f t="shared" si="2"/>
        <v>-</v>
      </c>
      <c r="M53" s="19">
        <f t="shared" si="3"/>
        <v>0</v>
      </c>
      <c r="N53" s="19">
        <f t="shared" si="4"/>
        <v>0</v>
      </c>
      <c r="O53" s="8">
        <f t="shared" si="5"/>
        <v>0</v>
      </c>
      <c r="P53" s="30"/>
      <c r="Q53" s="14"/>
      <c r="S53" s="146"/>
    </row>
    <row r="54" spans="1:19" ht="13.5" hidden="1" customHeight="1" x14ac:dyDescent="0.2">
      <c r="A54" s="415"/>
      <c r="B54" s="383" t="str">
        <f>IF('Per7'!B54&lt;&gt;"",'Per7'!B54,"")</f>
        <v/>
      </c>
      <c r="C54" s="383"/>
      <c r="D54" s="60" t="str">
        <f>IF('Per7'!D54&lt;&gt;"",'Per7'!D54,"")</f>
        <v/>
      </c>
      <c r="E54" s="143" t="str">
        <f>'Per1'!E54</f>
        <v>Select</v>
      </c>
      <c r="F54" s="144" t="str">
        <f>'Per1'!F54</f>
        <v>Select One</v>
      </c>
      <c r="G54" s="481">
        <f>IF(E54="Hourly",ROUND('Per7'!G54*1.03,2),ROUND('Per7'!G54*1.03,0))</f>
        <v>0</v>
      </c>
      <c r="H54" s="482"/>
      <c r="I54" s="6"/>
      <c r="J54" s="27"/>
      <c r="K54" s="209">
        <f t="shared" si="6"/>
        <v>0</v>
      </c>
      <c r="L54" s="7" t="str">
        <f t="shared" si="2"/>
        <v>-</v>
      </c>
      <c r="M54" s="19">
        <f t="shared" si="3"/>
        <v>0</v>
      </c>
      <c r="N54" s="19">
        <f t="shared" si="4"/>
        <v>0</v>
      </c>
      <c r="O54" s="8">
        <f t="shared" si="5"/>
        <v>0</v>
      </c>
      <c r="P54" s="30"/>
      <c r="Q54" s="14"/>
      <c r="S54" s="146"/>
    </row>
    <row r="55" spans="1:19" ht="13.5" hidden="1" customHeight="1" x14ac:dyDescent="0.2">
      <c r="A55" s="415"/>
      <c r="B55" s="383" t="str">
        <f>IF('Per7'!B55&lt;&gt;"",'Per7'!B55,"")</f>
        <v/>
      </c>
      <c r="C55" s="383"/>
      <c r="D55" s="60" t="str">
        <f>IF('Per7'!D55&lt;&gt;"",'Per7'!D55,"")</f>
        <v/>
      </c>
      <c r="E55" s="143" t="str">
        <f>'Per1'!E55</f>
        <v>Select</v>
      </c>
      <c r="F55" s="144" t="str">
        <f>'Per1'!F55</f>
        <v>Select One</v>
      </c>
      <c r="G55" s="481">
        <f>IF(E55="Hourly",ROUND('Per7'!G55*1.03,2),ROUND('Per7'!G55*1.03,0))</f>
        <v>0</v>
      </c>
      <c r="H55" s="482"/>
      <c r="I55" s="6"/>
      <c r="J55" s="27"/>
      <c r="K55" s="209">
        <f t="shared" si="6"/>
        <v>0</v>
      </c>
      <c r="L55" s="7" t="str">
        <f t="shared" si="2"/>
        <v>-</v>
      </c>
      <c r="M55" s="19">
        <f t="shared" si="3"/>
        <v>0</v>
      </c>
      <c r="N55" s="19">
        <f t="shared" si="4"/>
        <v>0</v>
      </c>
      <c r="O55" s="8">
        <f t="shared" si="5"/>
        <v>0</v>
      </c>
      <c r="P55" s="30"/>
      <c r="Q55" s="14"/>
      <c r="S55" s="146"/>
    </row>
    <row r="56" spans="1:19" ht="13.5" hidden="1" customHeight="1" x14ac:dyDescent="0.2">
      <c r="A56" s="415"/>
      <c r="B56" s="383" t="str">
        <f>IF('Per7'!B56&lt;&gt;"",'Per7'!B56,"")</f>
        <v/>
      </c>
      <c r="C56" s="383"/>
      <c r="D56" s="60" t="str">
        <f>IF('Per7'!D56&lt;&gt;"",'Per7'!D56,"")</f>
        <v/>
      </c>
      <c r="E56" s="143" t="str">
        <f>'Per1'!E56</f>
        <v>Select</v>
      </c>
      <c r="F56" s="144" t="str">
        <f>'Per1'!F56</f>
        <v>Select One</v>
      </c>
      <c r="G56" s="481">
        <f>IF(E56="Hourly",ROUND('Per7'!G56*1.03,2),ROUND('Per7'!G56*1.03,0))</f>
        <v>0</v>
      </c>
      <c r="H56" s="482"/>
      <c r="I56" s="6"/>
      <c r="J56" s="27"/>
      <c r="K56" s="209">
        <f t="shared" si="6"/>
        <v>0</v>
      </c>
      <c r="L56" s="7" t="str">
        <f t="shared" si="2"/>
        <v>-</v>
      </c>
      <c r="M56" s="19">
        <f t="shared" si="3"/>
        <v>0</v>
      </c>
      <c r="N56" s="19">
        <f t="shared" si="4"/>
        <v>0</v>
      </c>
      <c r="O56" s="8">
        <f t="shared" si="5"/>
        <v>0</v>
      </c>
      <c r="P56" s="30"/>
      <c r="Q56" s="14"/>
      <c r="S56" s="146"/>
    </row>
    <row r="57" spans="1:19" ht="13.5" hidden="1" customHeight="1" x14ac:dyDescent="0.2">
      <c r="A57" s="415"/>
      <c r="B57" s="383" t="str">
        <f>IF('Per7'!B57&lt;&gt;"",'Per7'!B57,"")</f>
        <v/>
      </c>
      <c r="C57" s="383"/>
      <c r="D57" s="60" t="str">
        <f>IF('Per7'!D57&lt;&gt;"",'Per7'!D57,"")</f>
        <v/>
      </c>
      <c r="E57" s="143" t="str">
        <f>'Per1'!E57</f>
        <v>Select</v>
      </c>
      <c r="F57" s="144" t="str">
        <f>'Per1'!F57</f>
        <v>Select One</v>
      </c>
      <c r="G57" s="481">
        <f>IF(E57="Hourly",ROUND('Per7'!G57*1.03,2),ROUND('Per7'!G57*1.03,0))</f>
        <v>0</v>
      </c>
      <c r="H57" s="482"/>
      <c r="I57" s="6"/>
      <c r="J57" s="27"/>
      <c r="K57" s="209">
        <f t="shared" si="6"/>
        <v>0</v>
      </c>
      <c r="L57" s="7" t="str">
        <f t="shared" si="2"/>
        <v>-</v>
      </c>
      <c r="M57" s="19">
        <f t="shared" si="3"/>
        <v>0</v>
      </c>
      <c r="N57" s="19">
        <f t="shared" si="4"/>
        <v>0</v>
      </c>
      <c r="O57" s="8">
        <f t="shared" si="5"/>
        <v>0</v>
      </c>
      <c r="P57" s="30"/>
      <c r="Q57" s="14"/>
      <c r="S57" s="146"/>
    </row>
    <row r="58" spans="1:19" ht="13.5" hidden="1" customHeight="1" x14ac:dyDescent="0.2">
      <c r="A58" s="415"/>
      <c r="B58" s="383" t="str">
        <f>IF('Per7'!B58&lt;&gt;"",'Per7'!B58,"")</f>
        <v/>
      </c>
      <c r="C58" s="383"/>
      <c r="D58" s="60" t="str">
        <f>IF('Per7'!D58&lt;&gt;"",'Per7'!D58,"")</f>
        <v/>
      </c>
      <c r="E58" s="143" t="str">
        <f>'Per1'!E58</f>
        <v>Select</v>
      </c>
      <c r="F58" s="144" t="str">
        <f>'Per1'!F58</f>
        <v>Select One</v>
      </c>
      <c r="G58" s="481">
        <f>IF(E58="Hourly",ROUND('Per7'!G58*1.03,2),ROUND('Per7'!G58*1.03,0))</f>
        <v>0</v>
      </c>
      <c r="H58" s="482"/>
      <c r="I58" s="6"/>
      <c r="J58" s="27"/>
      <c r="K58" s="209">
        <f t="shared" si="6"/>
        <v>0</v>
      </c>
      <c r="L58" s="7" t="str">
        <f t="shared" si="2"/>
        <v>-</v>
      </c>
      <c r="M58" s="19">
        <f t="shared" si="3"/>
        <v>0</v>
      </c>
      <c r="N58" s="19">
        <f t="shared" si="4"/>
        <v>0</v>
      </c>
      <c r="O58" s="8">
        <f t="shared" si="5"/>
        <v>0</v>
      </c>
      <c r="P58" s="30"/>
      <c r="Q58" s="14"/>
      <c r="S58" s="146"/>
    </row>
    <row r="59" spans="1:19" ht="13.5" hidden="1" customHeight="1" x14ac:dyDescent="0.2">
      <c r="A59" s="415"/>
      <c r="B59" s="383" t="str">
        <f>IF('Per7'!B59&lt;&gt;"",'Per7'!B59,"")</f>
        <v/>
      </c>
      <c r="C59" s="383"/>
      <c r="D59" s="60" t="str">
        <f>IF('Per7'!D59&lt;&gt;"",'Per7'!D59,"")</f>
        <v/>
      </c>
      <c r="E59" s="143" t="str">
        <f>'Per1'!E59</f>
        <v>Select</v>
      </c>
      <c r="F59" s="144" t="str">
        <f>'Per1'!F59</f>
        <v>Select One</v>
      </c>
      <c r="G59" s="481">
        <f>IF(E59="Hourly",ROUND('Per7'!G59*1.03,2),ROUND('Per7'!G59*1.03,0))</f>
        <v>0</v>
      </c>
      <c r="H59" s="482"/>
      <c r="I59" s="6"/>
      <c r="J59" s="27"/>
      <c r="K59" s="209">
        <f t="shared" si="6"/>
        <v>0</v>
      </c>
      <c r="L59" s="7" t="str">
        <f t="shared" si="2"/>
        <v>-</v>
      </c>
      <c r="M59" s="19">
        <f t="shared" si="3"/>
        <v>0</v>
      </c>
      <c r="N59" s="19">
        <f t="shared" si="4"/>
        <v>0</v>
      </c>
      <c r="O59" s="8">
        <f t="shared" si="5"/>
        <v>0</v>
      </c>
      <c r="P59" s="30"/>
      <c r="Q59" s="14"/>
      <c r="S59" s="146"/>
    </row>
    <row r="60" spans="1:19" ht="13.5" hidden="1" customHeight="1" x14ac:dyDescent="0.2">
      <c r="A60" s="415"/>
      <c r="B60" s="383" t="str">
        <f>IF('Per7'!B60&lt;&gt;"",'Per7'!B60,"")</f>
        <v/>
      </c>
      <c r="C60" s="383"/>
      <c r="D60" s="60" t="str">
        <f>IF('Per7'!D60&lt;&gt;"",'Per7'!D60,"")</f>
        <v/>
      </c>
      <c r="E60" s="143" t="str">
        <f>'Per1'!E60</f>
        <v>Select</v>
      </c>
      <c r="F60" s="144" t="str">
        <f>'Per1'!F60</f>
        <v>Select One</v>
      </c>
      <c r="G60" s="481">
        <f>IF(E60="Hourly",ROUND('Per7'!G60*1.03,2),ROUND('Per7'!G60*1.03,0))</f>
        <v>0</v>
      </c>
      <c r="H60" s="482"/>
      <c r="I60" s="6"/>
      <c r="J60" s="27"/>
      <c r="K60" s="209">
        <f t="shared" si="6"/>
        <v>0</v>
      </c>
      <c r="L60" s="7" t="str">
        <f t="shared" si="2"/>
        <v>-</v>
      </c>
      <c r="M60" s="19">
        <f t="shared" si="3"/>
        <v>0</v>
      </c>
      <c r="N60" s="19">
        <f t="shared" si="4"/>
        <v>0</v>
      </c>
      <c r="O60" s="8">
        <f t="shared" si="5"/>
        <v>0</v>
      </c>
      <c r="P60" s="30"/>
      <c r="Q60" s="14"/>
      <c r="S60" s="146"/>
    </row>
    <row r="61" spans="1:19" ht="13.5" hidden="1" customHeight="1" x14ac:dyDescent="0.2">
      <c r="A61" s="415"/>
      <c r="B61" s="383" t="str">
        <f>IF('Per7'!B61&lt;&gt;"",'Per7'!B61,"")</f>
        <v/>
      </c>
      <c r="C61" s="383"/>
      <c r="D61" s="60" t="str">
        <f>IF('Per7'!D61&lt;&gt;"",'Per7'!D61,"")</f>
        <v/>
      </c>
      <c r="E61" s="143" t="str">
        <f>'Per1'!E61</f>
        <v>Select</v>
      </c>
      <c r="F61" s="144" t="str">
        <f>'Per1'!F61</f>
        <v>Select One</v>
      </c>
      <c r="G61" s="481">
        <f>IF(E61="Hourly",ROUND('Per7'!G61*1.03,2),ROUND('Per7'!G61*1.03,0))</f>
        <v>0</v>
      </c>
      <c r="H61" s="482"/>
      <c r="I61" s="6"/>
      <c r="J61" s="27"/>
      <c r="K61" s="209">
        <f t="shared" si="6"/>
        <v>0</v>
      </c>
      <c r="L61" s="7" t="str">
        <f t="shared" si="2"/>
        <v>-</v>
      </c>
      <c r="M61" s="19">
        <f t="shared" si="3"/>
        <v>0</v>
      </c>
      <c r="N61" s="19">
        <f t="shared" si="4"/>
        <v>0</v>
      </c>
      <c r="O61" s="8">
        <f t="shared" si="5"/>
        <v>0</v>
      </c>
      <c r="P61" s="30"/>
      <c r="Q61" s="14"/>
      <c r="S61" s="146"/>
    </row>
    <row r="62" spans="1:19" ht="13.5" hidden="1" customHeight="1" x14ac:dyDescent="0.2">
      <c r="A62" s="415"/>
      <c r="B62" s="383" t="str">
        <f>IF('Per7'!B62&lt;&gt;"",'Per7'!B62,"")</f>
        <v/>
      </c>
      <c r="C62" s="383"/>
      <c r="D62" s="60" t="str">
        <f>IF('Per7'!D62&lt;&gt;"",'Per7'!D62,"")</f>
        <v/>
      </c>
      <c r="E62" s="143" t="str">
        <f>'Per1'!E62</f>
        <v>Select</v>
      </c>
      <c r="F62" s="144" t="str">
        <f>'Per1'!F62</f>
        <v>Select One</v>
      </c>
      <c r="G62" s="481">
        <f>IF(E62="Hourly",ROUND('Per7'!G62*1.03,2),ROUND('Per7'!G62*1.03,0))</f>
        <v>0</v>
      </c>
      <c r="H62" s="482"/>
      <c r="I62" s="6"/>
      <c r="J62" s="27"/>
      <c r="K62" s="209">
        <f t="shared" si="6"/>
        <v>0</v>
      </c>
      <c r="L62" s="7" t="str">
        <f t="shared" si="2"/>
        <v>-</v>
      </c>
      <c r="M62" s="19">
        <f t="shared" si="3"/>
        <v>0</v>
      </c>
      <c r="N62" s="19">
        <f t="shared" si="4"/>
        <v>0</v>
      </c>
      <c r="O62" s="8">
        <f t="shared" si="5"/>
        <v>0</v>
      </c>
      <c r="P62" s="30"/>
      <c r="Q62" s="14"/>
      <c r="S62" s="146"/>
    </row>
    <row r="63" spans="1:19" ht="13.5" hidden="1" customHeight="1" x14ac:dyDescent="0.2">
      <c r="A63" s="415"/>
      <c r="B63" s="383" t="str">
        <f>IF('Per7'!B63&lt;&gt;"",'Per7'!B63,"")</f>
        <v/>
      </c>
      <c r="C63" s="383"/>
      <c r="D63" s="60" t="str">
        <f>IF('Per7'!D63&lt;&gt;"",'Per7'!D63,"")</f>
        <v/>
      </c>
      <c r="E63" s="143" t="str">
        <f>'Per1'!E63</f>
        <v>Select</v>
      </c>
      <c r="F63" s="144" t="str">
        <f>'Per1'!F63</f>
        <v>Select One</v>
      </c>
      <c r="G63" s="481">
        <f>IF(E63="Hourly",ROUND('Per7'!G63*1.03,2),ROUND('Per7'!G63*1.03,0))</f>
        <v>0</v>
      </c>
      <c r="H63" s="482"/>
      <c r="I63" s="6"/>
      <c r="J63" s="27"/>
      <c r="K63" s="209">
        <f t="shared" si="6"/>
        <v>0</v>
      </c>
      <c r="L63" s="7" t="str">
        <f t="shared" si="2"/>
        <v>-</v>
      </c>
      <c r="M63" s="19">
        <f t="shared" si="3"/>
        <v>0</v>
      </c>
      <c r="N63" s="19">
        <f t="shared" si="4"/>
        <v>0</v>
      </c>
      <c r="O63" s="8">
        <f t="shared" si="5"/>
        <v>0</v>
      </c>
      <c r="P63" s="30"/>
      <c r="Q63" s="14"/>
      <c r="S63" s="146"/>
    </row>
    <row r="64" spans="1:19" ht="13.5" hidden="1" customHeight="1" x14ac:dyDescent="0.2">
      <c r="A64" s="415"/>
      <c r="B64" s="383" t="str">
        <f>IF('Per7'!B64&lt;&gt;"",'Per7'!B64,"")</f>
        <v/>
      </c>
      <c r="C64" s="383"/>
      <c r="D64" s="60" t="str">
        <f>IF('Per7'!D64&lt;&gt;"",'Per7'!D64,"")</f>
        <v/>
      </c>
      <c r="E64" s="143" t="str">
        <f>'Per1'!E64</f>
        <v>Select</v>
      </c>
      <c r="F64" s="144" t="str">
        <f>'Per1'!F64</f>
        <v>Select One</v>
      </c>
      <c r="G64" s="481">
        <f>IF(E64="Hourly",ROUND('Per7'!G64*1.03,2),ROUND('Per7'!G64*1.03,0))</f>
        <v>0</v>
      </c>
      <c r="H64" s="482"/>
      <c r="I64" s="6"/>
      <c r="J64" s="27"/>
      <c r="K64" s="209">
        <f t="shared" si="6"/>
        <v>0</v>
      </c>
      <c r="L64" s="7" t="str">
        <f t="shared" si="2"/>
        <v>-</v>
      </c>
      <c r="M64" s="19">
        <f t="shared" si="3"/>
        <v>0</v>
      </c>
      <c r="N64" s="19">
        <f t="shared" si="4"/>
        <v>0</v>
      </c>
      <c r="O64" s="8">
        <f t="shared" si="5"/>
        <v>0</v>
      </c>
      <c r="P64" s="30"/>
      <c r="S64" s="146"/>
    </row>
    <row r="65" spans="1:19" ht="13.5" hidden="1" customHeight="1" thickBot="1" x14ac:dyDescent="0.25">
      <c r="A65" s="415"/>
      <c r="B65" s="383" t="str">
        <f>IF('Per7'!B65&lt;&gt;"",'Per7'!B65,"")</f>
        <v/>
      </c>
      <c r="C65" s="383"/>
      <c r="D65" s="60" t="str">
        <f>IF('Per7'!D65&lt;&gt;"",'Per7'!D65,"")</f>
        <v/>
      </c>
      <c r="E65" s="143" t="str">
        <f>'Per1'!E65</f>
        <v>Select</v>
      </c>
      <c r="F65" s="144" t="str">
        <f>'Per1'!F65</f>
        <v>Select One</v>
      </c>
      <c r="G65" s="481">
        <f>IF(E65="Hourly",ROUND('Per7'!G65*1.03,2),ROUND('Per7'!G65*1.03,0))</f>
        <v>0</v>
      </c>
      <c r="H65" s="482"/>
      <c r="I65" s="6"/>
      <c r="J65" s="27"/>
      <c r="K65" s="209">
        <f t="shared" si="6"/>
        <v>0</v>
      </c>
      <c r="L65" s="7" t="str">
        <f t="shared" si="2"/>
        <v>-</v>
      </c>
      <c r="M65" s="19">
        <f t="shared" si="3"/>
        <v>0</v>
      </c>
      <c r="N65" s="19">
        <f t="shared" si="4"/>
        <v>0</v>
      </c>
      <c r="O65" s="8">
        <f t="shared" si="5"/>
        <v>0</v>
      </c>
      <c r="P65" s="30"/>
      <c r="S65" s="146"/>
    </row>
    <row r="66" spans="1:19" ht="13.5" customHeight="1" x14ac:dyDescent="0.2">
      <c r="A66" s="415"/>
      <c r="B66" s="504" t="s">
        <v>112</v>
      </c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121" t="s">
        <v>27</v>
      </c>
      <c r="O66" s="347">
        <f>SUM(O67:O68)</f>
        <v>0</v>
      </c>
      <c r="P66" s="147"/>
    </row>
    <row r="67" spans="1:19" ht="13.5" customHeight="1" x14ac:dyDescent="0.2">
      <c r="A67" s="415"/>
      <c r="B67" s="383" t="s">
        <v>113</v>
      </c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4"/>
      <c r="O67" s="11"/>
      <c r="P67" s="30"/>
    </row>
    <row r="68" spans="1:19" ht="13.5" customHeight="1" thickBot="1" x14ac:dyDescent="0.25">
      <c r="A68" s="415"/>
      <c r="B68" s="383" t="s">
        <v>114</v>
      </c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4"/>
      <c r="O68" s="22"/>
      <c r="P68" s="30"/>
    </row>
    <row r="69" spans="1:19" ht="13.5" customHeight="1" x14ac:dyDescent="0.2">
      <c r="A69" s="415"/>
      <c r="B69" s="504" t="s">
        <v>115</v>
      </c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121" t="s">
        <v>27</v>
      </c>
      <c r="O69" s="347">
        <f>SUM(O70,O77:O81)</f>
        <v>0</v>
      </c>
      <c r="P69" s="147"/>
    </row>
    <row r="70" spans="1:19" ht="13.5" customHeight="1" x14ac:dyDescent="0.2">
      <c r="A70" s="415"/>
      <c r="B70" s="523" t="s">
        <v>116</v>
      </c>
      <c r="C70" s="524"/>
      <c r="D70" s="524"/>
      <c r="E70" s="524"/>
      <c r="F70" s="524"/>
      <c r="G70" s="524"/>
      <c r="H70" s="524"/>
      <c r="I70" s="524"/>
      <c r="J70" s="524"/>
      <c r="K70" s="524"/>
      <c r="L70" s="524"/>
      <c r="M70" s="524"/>
      <c r="N70" s="524"/>
      <c r="O70" s="328">
        <f>SUM(N71:N76)</f>
        <v>0</v>
      </c>
      <c r="P70" s="30"/>
    </row>
    <row r="71" spans="1:19" ht="13.5" customHeight="1" x14ac:dyDescent="0.2">
      <c r="A71" s="415"/>
      <c r="B71" s="523" t="s">
        <v>117</v>
      </c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257">
        <v>0</v>
      </c>
      <c r="O71" s="322"/>
      <c r="P71" s="30"/>
    </row>
    <row r="72" spans="1:19" ht="13.5" customHeight="1" x14ac:dyDescent="0.2">
      <c r="A72" s="415"/>
      <c r="B72" s="382" t="s">
        <v>118</v>
      </c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4"/>
      <c r="N72" s="257">
        <v>0</v>
      </c>
      <c r="O72" s="322"/>
      <c r="P72" s="30"/>
    </row>
    <row r="73" spans="1:19" ht="13.5" customHeight="1" x14ac:dyDescent="0.2">
      <c r="A73" s="415"/>
      <c r="B73" s="523" t="s">
        <v>120</v>
      </c>
      <c r="C73" s="524"/>
      <c r="D73" s="524"/>
      <c r="E73" s="524"/>
      <c r="F73" s="524"/>
      <c r="G73" s="524"/>
      <c r="H73" s="524"/>
      <c r="I73" s="524"/>
      <c r="J73" s="524"/>
      <c r="K73" s="524"/>
      <c r="L73" s="524"/>
      <c r="M73" s="524"/>
      <c r="N73" s="257">
        <v>0</v>
      </c>
      <c r="O73" s="322"/>
      <c r="P73" s="30"/>
    </row>
    <row r="74" spans="1:19" ht="13.5" customHeight="1" x14ac:dyDescent="0.2">
      <c r="A74" s="415"/>
      <c r="B74" s="523" t="s">
        <v>121</v>
      </c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257">
        <v>0</v>
      </c>
      <c r="O74" s="322"/>
      <c r="P74" s="30"/>
    </row>
    <row r="75" spans="1:19" ht="13.5" customHeight="1" x14ac:dyDescent="0.2">
      <c r="A75" s="415"/>
      <c r="B75" s="523" t="s">
        <v>122</v>
      </c>
      <c r="C75" s="524"/>
      <c r="D75" s="524"/>
      <c r="E75" s="524"/>
      <c r="F75" s="524"/>
      <c r="G75" s="524"/>
      <c r="H75" s="524"/>
      <c r="I75" s="524"/>
      <c r="J75" s="524"/>
      <c r="K75" s="524"/>
      <c r="L75" s="524"/>
      <c r="M75" s="524"/>
      <c r="N75" s="257">
        <v>0</v>
      </c>
      <c r="O75" s="322"/>
      <c r="P75" s="30"/>
    </row>
    <row r="76" spans="1:19" ht="13.5" customHeight="1" x14ac:dyDescent="0.2">
      <c r="A76" s="415"/>
      <c r="B76" s="523" t="s">
        <v>123</v>
      </c>
      <c r="C76" s="524"/>
      <c r="D76" s="524"/>
      <c r="E76" s="524"/>
      <c r="F76" s="524"/>
      <c r="G76" s="524"/>
      <c r="H76" s="524"/>
      <c r="I76" s="524"/>
      <c r="J76" s="524"/>
      <c r="K76" s="524"/>
      <c r="L76" s="524"/>
      <c r="M76" s="524"/>
      <c r="N76" s="257">
        <v>0</v>
      </c>
      <c r="O76" s="322"/>
      <c r="P76" s="30"/>
    </row>
    <row r="77" spans="1:19" ht="13.5" customHeight="1" x14ac:dyDescent="0.2">
      <c r="A77" s="415"/>
      <c r="B77" s="523" t="s">
        <v>124</v>
      </c>
      <c r="C77" s="524"/>
      <c r="D77" s="524"/>
      <c r="E77" s="524"/>
      <c r="F77" s="524"/>
      <c r="G77" s="524"/>
      <c r="H77" s="524"/>
      <c r="I77" s="524"/>
      <c r="J77" s="524"/>
      <c r="K77" s="524"/>
      <c r="L77" s="524"/>
      <c r="M77" s="524"/>
      <c r="N77" s="524"/>
      <c r="O77" s="258">
        <v>0</v>
      </c>
      <c r="P77" s="30"/>
    </row>
    <row r="78" spans="1:19" ht="13.5" customHeight="1" x14ac:dyDescent="0.2">
      <c r="A78" s="415"/>
      <c r="B78" s="382" t="s">
        <v>125</v>
      </c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4"/>
      <c r="O78" s="258">
        <v>0</v>
      </c>
      <c r="P78" s="30"/>
      <c r="Q78" s="14" t="s">
        <v>127</v>
      </c>
    </row>
    <row r="79" spans="1:19" ht="13.5" customHeight="1" x14ac:dyDescent="0.2">
      <c r="A79" s="415"/>
      <c r="B79" s="523" t="s">
        <v>126</v>
      </c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258">
        <v>0</v>
      </c>
      <c r="P79" s="30"/>
    </row>
    <row r="80" spans="1:19" ht="13.5" customHeight="1" x14ac:dyDescent="0.2">
      <c r="A80" s="415"/>
      <c r="B80" s="523" t="s">
        <v>128</v>
      </c>
      <c r="C80" s="524"/>
      <c r="D80" s="524"/>
      <c r="E80" s="524"/>
      <c r="F80" s="524"/>
      <c r="G80" s="524"/>
      <c r="H80" s="524"/>
      <c r="I80" s="524"/>
      <c r="J80" s="524"/>
      <c r="K80" s="524"/>
      <c r="L80" s="524"/>
      <c r="M80" s="524"/>
      <c r="N80" s="524"/>
      <c r="O80" s="258">
        <v>0</v>
      </c>
      <c r="P80" s="30"/>
    </row>
    <row r="81" spans="1:17" ht="13.5" customHeight="1" thickBot="1" x14ac:dyDescent="0.25">
      <c r="A81" s="416"/>
      <c r="B81" s="564" t="s">
        <v>129</v>
      </c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16">
        <v>0</v>
      </c>
      <c r="P81" s="30"/>
      <c r="Q81" s="224" t="s">
        <v>199</v>
      </c>
    </row>
    <row r="82" spans="1:17" ht="18" customHeight="1" thickBot="1" x14ac:dyDescent="0.25">
      <c r="A82" s="540"/>
      <c r="B82" s="540"/>
      <c r="C82" s="540"/>
      <c r="D82" s="540"/>
      <c r="E82" s="540"/>
      <c r="F82" s="540"/>
      <c r="G82" s="540"/>
      <c r="H82" s="540"/>
      <c r="I82" s="540"/>
      <c r="J82" s="540"/>
      <c r="K82" s="540"/>
      <c r="L82" s="540"/>
      <c r="M82" s="540"/>
      <c r="N82" s="540"/>
      <c r="O82" s="540"/>
      <c r="P82" s="31"/>
      <c r="Q82" s="256" t="s">
        <v>130</v>
      </c>
    </row>
    <row r="83" spans="1:17" ht="13.5" customHeight="1" x14ac:dyDescent="0.2">
      <c r="A83" s="414" t="s">
        <v>131</v>
      </c>
      <c r="B83" s="495" t="s">
        <v>132</v>
      </c>
      <c r="C83" s="495"/>
      <c r="D83" s="495"/>
      <c r="E83" s="495"/>
      <c r="F83" s="495"/>
      <c r="G83" s="495"/>
      <c r="H83" s="495"/>
      <c r="I83" s="495"/>
      <c r="J83" s="495"/>
      <c r="K83" s="495"/>
      <c r="L83" s="495"/>
      <c r="M83" s="495"/>
      <c r="N83" s="121" t="s">
        <v>27</v>
      </c>
      <c r="O83" s="347">
        <f>SUM(O84:O86)</f>
        <v>0</v>
      </c>
      <c r="P83" s="147"/>
    </row>
    <row r="84" spans="1:17" ht="13.5" customHeight="1" x14ac:dyDescent="0.2">
      <c r="A84" s="415"/>
      <c r="B84" s="383" t="s">
        <v>133</v>
      </c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4"/>
      <c r="O84" s="15"/>
      <c r="P84" s="30"/>
    </row>
    <row r="85" spans="1:17" ht="13.5" customHeight="1" x14ac:dyDescent="0.2">
      <c r="A85" s="415"/>
      <c r="B85" s="383" t="s">
        <v>134</v>
      </c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4"/>
      <c r="O85" s="9"/>
      <c r="P85" s="30"/>
    </row>
    <row r="86" spans="1:17" ht="13.5" customHeight="1" thickBot="1" x14ac:dyDescent="0.25">
      <c r="A86" s="415"/>
      <c r="B86" s="501" t="s">
        <v>135</v>
      </c>
      <c r="C86" s="501"/>
      <c r="D86" s="501"/>
      <c r="E86" s="501"/>
      <c r="F86" s="501"/>
      <c r="G86" s="501"/>
      <c r="H86" s="501"/>
      <c r="I86" s="501"/>
      <c r="J86" s="501"/>
      <c r="K86" s="501"/>
      <c r="L86" s="501"/>
      <c r="M86" s="501"/>
      <c r="N86" s="502"/>
      <c r="O86" s="10"/>
      <c r="P86" s="30"/>
    </row>
    <row r="87" spans="1:17" ht="13.5" customHeight="1" x14ac:dyDescent="0.2">
      <c r="A87" s="415"/>
      <c r="B87" s="504" t="s">
        <v>136</v>
      </c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121" t="s">
        <v>27</v>
      </c>
      <c r="O87" s="347">
        <f>SUM(O88:O91)</f>
        <v>0</v>
      </c>
      <c r="P87" s="147"/>
    </row>
    <row r="88" spans="1:17" ht="13.5" customHeight="1" x14ac:dyDescent="0.2">
      <c r="A88" s="415"/>
      <c r="B88" s="506" t="s">
        <v>137</v>
      </c>
      <c r="C88" s="506"/>
      <c r="D88" s="506"/>
      <c r="E88" s="506"/>
      <c r="F88" s="506"/>
      <c r="G88" s="506"/>
      <c r="H88" s="506"/>
      <c r="I88" s="506"/>
      <c r="J88" s="506"/>
      <c r="K88" s="506"/>
      <c r="L88" s="506"/>
      <c r="M88" s="506"/>
      <c r="N88" s="507"/>
      <c r="O88" s="11"/>
      <c r="P88" s="30"/>
    </row>
    <row r="89" spans="1:17" ht="13.5" customHeight="1" x14ac:dyDescent="0.2">
      <c r="A89" s="415"/>
      <c r="B89" s="509" t="s">
        <v>138</v>
      </c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10"/>
      <c r="O89" s="13"/>
      <c r="P89" s="30"/>
      <c r="Q89" s="14" t="s">
        <v>139</v>
      </c>
    </row>
    <row r="90" spans="1:17" ht="13.5" customHeight="1" x14ac:dyDescent="0.2">
      <c r="A90" s="415"/>
      <c r="B90" s="383" t="s">
        <v>140</v>
      </c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4"/>
      <c r="O90" s="13"/>
      <c r="P90" s="30"/>
    </row>
    <row r="91" spans="1:17" ht="13.5" customHeight="1" thickBot="1" x14ac:dyDescent="0.25">
      <c r="A91" s="415"/>
      <c r="B91" s="501" t="s">
        <v>141</v>
      </c>
      <c r="C91" s="501"/>
      <c r="D91" s="501"/>
      <c r="E91" s="501"/>
      <c r="F91" s="501"/>
      <c r="G91" s="501"/>
      <c r="H91" s="501"/>
      <c r="I91" s="501"/>
      <c r="J91" s="501"/>
      <c r="K91" s="501"/>
      <c r="L91" s="501"/>
      <c r="M91" s="501"/>
      <c r="N91" s="502"/>
      <c r="O91" s="16"/>
      <c r="P91" s="30"/>
      <c r="Q91" s="14" t="s">
        <v>142</v>
      </c>
    </row>
    <row r="92" spans="1:17" ht="13.5" customHeight="1" x14ac:dyDescent="0.2">
      <c r="A92" s="415"/>
      <c r="B92" s="563" t="s">
        <v>143</v>
      </c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121" t="s">
        <v>27</v>
      </c>
      <c r="O92" s="348">
        <f>SUM(O93:O97)</f>
        <v>0</v>
      </c>
      <c r="P92" s="147"/>
    </row>
    <row r="93" spans="1:17" ht="13.5" customHeight="1" x14ac:dyDescent="0.2">
      <c r="A93" s="415"/>
      <c r="B93" s="388" t="s">
        <v>144</v>
      </c>
      <c r="C93" s="389"/>
      <c r="D93" s="389"/>
      <c r="E93" s="389"/>
      <c r="F93" s="389"/>
      <c r="G93" s="389"/>
      <c r="H93" s="389"/>
      <c r="I93" s="389"/>
      <c r="J93" s="389"/>
      <c r="K93" s="389"/>
      <c r="L93" s="389"/>
      <c r="M93" s="389"/>
      <c r="N93" s="390"/>
      <c r="O93" s="149"/>
      <c r="P93" s="147"/>
      <c r="Q93" s="14" t="s">
        <v>145</v>
      </c>
    </row>
    <row r="94" spans="1:17" ht="13.5" customHeight="1" x14ac:dyDescent="0.2">
      <c r="A94" s="415"/>
      <c r="B94" s="383" t="s">
        <v>146</v>
      </c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4"/>
      <c r="O94" s="13"/>
      <c r="P94" s="30"/>
    </row>
    <row r="95" spans="1:17" ht="13.5" customHeight="1" x14ac:dyDescent="0.2">
      <c r="A95" s="415"/>
      <c r="B95" s="383" t="s">
        <v>147</v>
      </c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4"/>
      <c r="O95" s="12"/>
      <c r="P95" s="30"/>
    </row>
    <row r="96" spans="1:17" ht="13.5" customHeight="1" x14ac:dyDescent="0.2">
      <c r="A96" s="415"/>
      <c r="B96" s="382" t="s">
        <v>148</v>
      </c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4"/>
      <c r="O96" s="12"/>
      <c r="P96" s="30"/>
    </row>
    <row r="97" spans="1:17" ht="13.5" customHeight="1" thickBot="1" x14ac:dyDescent="0.25">
      <c r="A97" s="415"/>
      <c r="B97" s="382" t="s">
        <v>149</v>
      </c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4"/>
      <c r="O97" s="12"/>
      <c r="P97" s="30"/>
    </row>
    <row r="98" spans="1:17" ht="18" customHeight="1" thickBot="1" x14ac:dyDescent="0.25">
      <c r="A98" s="18"/>
      <c r="B98" s="467"/>
      <c r="C98" s="467"/>
      <c r="D98" s="467"/>
      <c r="E98" s="467"/>
      <c r="F98" s="467"/>
      <c r="G98" s="467"/>
      <c r="H98" s="467"/>
      <c r="I98" s="467"/>
      <c r="J98" s="467"/>
      <c r="K98" s="467"/>
      <c r="L98" s="467"/>
      <c r="M98" s="467"/>
      <c r="N98" s="467"/>
      <c r="O98" s="467"/>
      <c r="P98" s="32"/>
    </row>
    <row r="99" spans="1:17" ht="13.5" customHeight="1" x14ac:dyDescent="0.2">
      <c r="A99" s="414" t="s">
        <v>150</v>
      </c>
      <c r="B99" s="469" t="s">
        <v>151</v>
      </c>
      <c r="C99" s="560"/>
      <c r="D99" s="560"/>
      <c r="E99" s="560"/>
      <c r="F99" s="560"/>
      <c r="G99" s="560"/>
      <c r="H99" s="560"/>
      <c r="I99" s="560"/>
      <c r="J99" s="560"/>
      <c r="K99" s="560"/>
      <c r="L99" s="560"/>
      <c r="M99" s="560"/>
      <c r="N99" s="36" t="s">
        <v>152</v>
      </c>
      <c r="O99" s="329">
        <f>J121</f>
        <v>0</v>
      </c>
      <c r="P99" s="30"/>
    </row>
    <row r="100" spans="1:17" ht="42.75" customHeight="1" x14ac:dyDescent="0.2">
      <c r="A100" s="415"/>
      <c r="B100" s="470" t="s">
        <v>153</v>
      </c>
      <c r="C100" s="21" t="s">
        <v>154</v>
      </c>
      <c r="D100" s="21"/>
      <c r="E100" s="21"/>
      <c r="F100" s="473" t="s">
        <v>155</v>
      </c>
      <c r="G100" s="474"/>
      <c r="H100" s="475" t="s">
        <v>156</v>
      </c>
      <c r="I100" s="475"/>
      <c r="J100" s="61" t="s">
        <v>157</v>
      </c>
      <c r="K100" s="242" t="s">
        <v>158</v>
      </c>
      <c r="L100" s="243" t="s">
        <v>159</v>
      </c>
      <c r="M100" s="244" t="s">
        <v>160</v>
      </c>
      <c r="N100" s="367" t="s">
        <v>161</v>
      </c>
      <c r="O100" s="368"/>
    </row>
    <row r="101" spans="1:17" ht="13.5" customHeight="1" x14ac:dyDescent="0.2">
      <c r="A101" s="415"/>
      <c r="B101" s="471"/>
      <c r="C101" s="372">
        <f>'Per1'!C101:E101</f>
        <v>0</v>
      </c>
      <c r="D101" s="373"/>
      <c r="E101" s="374"/>
      <c r="F101" s="393"/>
      <c r="G101" s="393"/>
      <c r="H101" s="393"/>
      <c r="I101" s="393"/>
      <c r="J101" s="330">
        <f>F101+H101</f>
        <v>0</v>
      </c>
      <c r="K101" s="245">
        <f>IF((J101+'Per1'!J101+'Per2'!J101+'Per3'!J101+'Per4'!J101+'Per5'!J101+'Per6'!J101+'Per7'!J101)&lt;=24999,J101, 25000-'Per1'!K101-'Per2'!K101-'Per3'!K101-'Per4'!K101-'Per5'!K101-'Per6'!K101-'Per7'!K101)</f>
        <v>0</v>
      </c>
      <c r="L101" s="331">
        <f>F101+H101-K101</f>
        <v>0</v>
      </c>
      <c r="M101" s="331">
        <f t="shared" ref="M101:M120" si="7">ROUND(IF(($L$7-VLOOKUP($G$123,$I$124:$K$142,3,FALSE))&lt;0,$K101,ROUND((1-($L$7-VLOOKUP($G$123,$I$124:$K$142,3,FALSE))/($L$7 +1 - $L$5))*$K101,0))*M$147,0) +ROUND(IF(($L$7-VLOOKUP($G$123,$I$124:$K$142,3,FALSE))&lt;0,0,ROUND(($L$7-VLOOKUP($G$123,$I$124:$K$142,3,FALSE))/($L$7 +1 - $L$5)*$K101,0))*M$148,0)</f>
        <v>0</v>
      </c>
      <c r="N101" s="365">
        <f>K101+L101+M101</f>
        <v>0</v>
      </c>
      <c r="O101" s="366"/>
    </row>
    <row r="102" spans="1:17" ht="13.5" customHeight="1" x14ac:dyDescent="0.2">
      <c r="A102" s="415"/>
      <c r="B102" s="471"/>
      <c r="C102" s="372">
        <f>'Per1'!C102:E102</f>
        <v>0</v>
      </c>
      <c r="D102" s="373"/>
      <c r="E102" s="374"/>
      <c r="F102" s="393"/>
      <c r="G102" s="393"/>
      <c r="H102" s="393"/>
      <c r="I102" s="393"/>
      <c r="J102" s="330">
        <f t="shared" ref="J102:J120" si="8">F102+H102</f>
        <v>0</v>
      </c>
      <c r="K102" s="245">
        <f>IF((J102+'Per1'!J102+'Per2'!J102+'Per3'!J102+'Per4'!J102+'Per5'!J102+'Per6'!J102+'Per7'!J102)&lt;=24999,J102, 25000-'Per1'!K102-'Per2'!K102-'Per3'!K102-'Per4'!K102-'Per5'!K102-'Per6'!K102-'Per7'!K102)</f>
        <v>0</v>
      </c>
      <c r="L102" s="331">
        <f>F102+H102-K102</f>
        <v>0</v>
      </c>
      <c r="M102" s="331">
        <f t="shared" si="7"/>
        <v>0</v>
      </c>
      <c r="N102" s="365">
        <f t="shared" ref="N102:N120" si="9">K102+L102+M102</f>
        <v>0</v>
      </c>
      <c r="O102" s="366"/>
    </row>
    <row r="103" spans="1:17" ht="13.5" customHeight="1" x14ac:dyDescent="0.2">
      <c r="A103" s="415"/>
      <c r="B103" s="471"/>
      <c r="C103" s="372">
        <f>'Per1'!C103:E103</f>
        <v>0</v>
      </c>
      <c r="D103" s="373"/>
      <c r="E103" s="374"/>
      <c r="F103" s="393"/>
      <c r="G103" s="393"/>
      <c r="H103" s="393"/>
      <c r="I103" s="393"/>
      <c r="J103" s="330">
        <f t="shared" si="8"/>
        <v>0</v>
      </c>
      <c r="K103" s="245">
        <f>IF((J103+'Per1'!J103+'Per2'!J103+'Per3'!J103+'Per4'!J103+'Per5'!J103+'Per6'!J103+'Per7'!J103)&lt;=24999,J103, 25000-'Per1'!K103-'Per2'!K103-'Per3'!K103-'Per4'!K103-'Per5'!K103-'Per6'!K103-'Per7'!K103)</f>
        <v>0</v>
      </c>
      <c r="L103" s="331">
        <f>F103+H103-K103</f>
        <v>0</v>
      </c>
      <c r="M103" s="331">
        <f t="shared" si="7"/>
        <v>0</v>
      </c>
      <c r="N103" s="365">
        <f t="shared" si="9"/>
        <v>0</v>
      </c>
      <c r="O103" s="366"/>
    </row>
    <row r="104" spans="1:17" ht="13.5" customHeight="1" x14ac:dyDescent="0.2">
      <c r="A104" s="415"/>
      <c r="B104" s="471"/>
      <c r="C104" s="372">
        <f>'Per1'!C104:E104</f>
        <v>0</v>
      </c>
      <c r="D104" s="373"/>
      <c r="E104" s="374"/>
      <c r="F104" s="393"/>
      <c r="G104" s="393"/>
      <c r="H104" s="393"/>
      <c r="I104" s="393"/>
      <c r="J104" s="330">
        <f t="shared" si="8"/>
        <v>0</v>
      </c>
      <c r="K104" s="245">
        <f>IF((J104+'Per1'!J104+'Per2'!J104+'Per3'!J104+'Per4'!J104+'Per5'!J104+'Per6'!J104+'Per7'!J104)&lt;=24999,J104, 25000-'Per1'!K104-'Per2'!K104-'Per3'!K104-'Per4'!K104-'Per5'!K104-'Per6'!K104-'Per7'!K104)</f>
        <v>0</v>
      </c>
      <c r="L104" s="331">
        <f>F104+H104-K104</f>
        <v>0</v>
      </c>
      <c r="M104" s="331">
        <f t="shared" si="7"/>
        <v>0</v>
      </c>
      <c r="N104" s="365">
        <f t="shared" si="9"/>
        <v>0</v>
      </c>
      <c r="O104" s="366"/>
    </row>
    <row r="105" spans="1:17" ht="13.5" customHeight="1" x14ac:dyDescent="0.2">
      <c r="A105" s="415"/>
      <c r="B105" s="471"/>
      <c r="C105" s="372">
        <f>'Per1'!C105:E105</f>
        <v>0</v>
      </c>
      <c r="D105" s="373"/>
      <c r="E105" s="374"/>
      <c r="F105" s="375"/>
      <c r="G105" s="375"/>
      <c r="H105" s="375"/>
      <c r="I105" s="375"/>
      <c r="J105" s="332">
        <f t="shared" si="8"/>
        <v>0</v>
      </c>
      <c r="K105" s="245">
        <f>IF((J105+'Per1'!J105+'Per2'!J105+'Per3'!J105+'Per4'!J105+'Per5'!J105+'Per6'!J105+'Per7'!J105)&lt;=24999,J105, 25000-'Per1'!K105-'Per2'!K105-'Per3'!K105-'Per4'!K105-'Per5'!K105-'Per6'!K105-'Per7'!K105)</f>
        <v>0</v>
      </c>
      <c r="L105" s="333">
        <f>F105+H105-K105</f>
        <v>0</v>
      </c>
      <c r="M105" s="331">
        <f t="shared" si="7"/>
        <v>0</v>
      </c>
      <c r="N105" s="561">
        <f t="shared" si="9"/>
        <v>0</v>
      </c>
      <c r="O105" s="562"/>
      <c r="Q105" s="224" t="s">
        <v>162</v>
      </c>
    </row>
    <row r="106" spans="1:17" ht="13.5" customHeight="1" thickBot="1" x14ac:dyDescent="0.25">
      <c r="A106" s="415"/>
      <c r="B106" s="471"/>
      <c r="C106" s="372">
        <f>'Per1'!C106:E106</f>
        <v>0</v>
      </c>
      <c r="D106" s="373"/>
      <c r="E106" s="374"/>
      <c r="F106" s="375"/>
      <c r="G106" s="375"/>
      <c r="H106" s="375"/>
      <c r="I106" s="375"/>
      <c r="J106" s="332">
        <f t="shared" si="8"/>
        <v>0</v>
      </c>
      <c r="K106" s="245">
        <f>IF((J106+'Per1'!J106+'Per2'!J106+'Per3'!J106+'Per4'!J106+'Per5'!J106+'Per6'!J106+'Per7'!J106)&lt;=24999,J106, 25000-'Per1'!K106-'Per2'!K106-'Per3'!K106-'Per4'!K106-'Per5'!K106-'Per6'!K106-'Per7'!K106)</f>
        <v>0</v>
      </c>
      <c r="L106" s="333">
        <f t="shared" ref="L106:L120" si="10">F106+H106-K106</f>
        <v>0</v>
      </c>
      <c r="M106" s="331">
        <f t="shared" si="7"/>
        <v>0</v>
      </c>
      <c r="N106" s="365">
        <f t="shared" si="9"/>
        <v>0</v>
      </c>
      <c r="O106" s="366"/>
    </row>
    <row r="107" spans="1:17" ht="13.5" hidden="1" customHeight="1" x14ac:dyDescent="0.2">
      <c r="A107" s="415"/>
      <c r="B107" s="471"/>
      <c r="C107" s="372">
        <f>'Per1'!C107:E107</f>
        <v>0</v>
      </c>
      <c r="D107" s="373"/>
      <c r="E107" s="374"/>
      <c r="F107" s="375"/>
      <c r="G107" s="375"/>
      <c r="H107" s="375"/>
      <c r="I107" s="375"/>
      <c r="J107" s="332">
        <f t="shared" si="8"/>
        <v>0</v>
      </c>
      <c r="K107" s="245">
        <f>IF((J107+'Per1'!J107+'Per2'!J107+'Per3'!J107+'Per4'!J107+'Per5'!J107+'Per6'!J107+'Per7'!J107)&lt;=24999,J107, 25000-'Per1'!K107-'Per2'!K107-'Per3'!K107-'Per4'!K107-'Per5'!K107-'Per6'!K107-'Per7'!K107)</f>
        <v>0</v>
      </c>
      <c r="L107" s="333">
        <f t="shared" si="10"/>
        <v>0</v>
      </c>
      <c r="M107" s="331">
        <f t="shared" si="7"/>
        <v>0</v>
      </c>
      <c r="N107" s="365">
        <f t="shared" si="9"/>
        <v>0</v>
      </c>
      <c r="O107" s="366"/>
    </row>
    <row r="108" spans="1:17" ht="13.5" hidden="1" customHeight="1" x14ac:dyDescent="0.2">
      <c r="A108" s="415"/>
      <c r="B108" s="471"/>
      <c r="C108" s="372">
        <f>'Per1'!C108:E108</f>
        <v>0</v>
      </c>
      <c r="D108" s="373"/>
      <c r="E108" s="374"/>
      <c r="F108" s="375"/>
      <c r="G108" s="375"/>
      <c r="H108" s="375"/>
      <c r="I108" s="375"/>
      <c r="J108" s="332">
        <f t="shared" si="8"/>
        <v>0</v>
      </c>
      <c r="K108" s="245">
        <f>IF((J108+'Per1'!J108+'Per2'!J108+'Per3'!J108+'Per4'!J108+'Per5'!J108+'Per6'!J108+'Per7'!J108)&lt;=24999,J108, 25000-'Per1'!K108-'Per2'!K108-'Per3'!K108-'Per4'!K108-'Per5'!K108-'Per6'!K108-'Per7'!K108)</f>
        <v>0</v>
      </c>
      <c r="L108" s="333">
        <f t="shared" si="10"/>
        <v>0</v>
      </c>
      <c r="M108" s="331">
        <f t="shared" si="7"/>
        <v>0</v>
      </c>
      <c r="N108" s="365">
        <f t="shared" si="9"/>
        <v>0</v>
      </c>
      <c r="O108" s="366"/>
    </row>
    <row r="109" spans="1:17" ht="13.5" hidden="1" customHeight="1" x14ac:dyDescent="0.2">
      <c r="A109" s="415"/>
      <c r="B109" s="471"/>
      <c r="C109" s="372">
        <f>'Per1'!C109:E109</f>
        <v>0</v>
      </c>
      <c r="D109" s="373"/>
      <c r="E109" s="374"/>
      <c r="F109" s="375"/>
      <c r="G109" s="375"/>
      <c r="H109" s="375"/>
      <c r="I109" s="375"/>
      <c r="J109" s="332">
        <f t="shared" si="8"/>
        <v>0</v>
      </c>
      <c r="K109" s="245">
        <f>IF((J109+'Per1'!J109+'Per2'!J109+'Per3'!J109+'Per4'!J109+'Per5'!J109+'Per6'!J109+'Per7'!J109)&lt;=24999,J109, 25000-'Per1'!K109-'Per2'!K109-'Per3'!K109-'Per4'!K109-'Per5'!K109-'Per6'!K109-'Per7'!K109)</f>
        <v>0</v>
      </c>
      <c r="L109" s="333">
        <f t="shared" si="10"/>
        <v>0</v>
      </c>
      <c r="M109" s="331">
        <f t="shared" si="7"/>
        <v>0</v>
      </c>
      <c r="N109" s="365">
        <f t="shared" si="9"/>
        <v>0</v>
      </c>
      <c r="O109" s="366"/>
    </row>
    <row r="110" spans="1:17" ht="13.5" hidden="1" customHeight="1" x14ac:dyDescent="0.2">
      <c r="A110" s="415"/>
      <c r="B110" s="471"/>
      <c r="C110" s="372">
        <f>'Per1'!C110:E110</f>
        <v>0</v>
      </c>
      <c r="D110" s="373"/>
      <c r="E110" s="374"/>
      <c r="F110" s="375"/>
      <c r="G110" s="375"/>
      <c r="H110" s="375"/>
      <c r="I110" s="375"/>
      <c r="J110" s="332">
        <f t="shared" si="8"/>
        <v>0</v>
      </c>
      <c r="K110" s="245">
        <f>IF((J110+'Per1'!J110+'Per2'!J110+'Per3'!J110+'Per4'!J110+'Per5'!J110+'Per6'!J110+'Per7'!J110)&lt;=24999,J110, 25000-'Per1'!K110-'Per2'!K110-'Per3'!K110-'Per4'!K110-'Per5'!K110-'Per6'!K110-'Per7'!K110)</f>
        <v>0</v>
      </c>
      <c r="L110" s="333">
        <f t="shared" si="10"/>
        <v>0</v>
      </c>
      <c r="M110" s="331">
        <f t="shared" si="7"/>
        <v>0</v>
      </c>
      <c r="N110" s="365">
        <f t="shared" si="9"/>
        <v>0</v>
      </c>
      <c r="O110" s="366"/>
    </row>
    <row r="111" spans="1:17" ht="13.5" hidden="1" customHeight="1" x14ac:dyDescent="0.2">
      <c r="A111" s="415"/>
      <c r="B111" s="471"/>
      <c r="C111" s="372">
        <f>'Per1'!C111:E111</f>
        <v>0</v>
      </c>
      <c r="D111" s="373"/>
      <c r="E111" s="374"/>
      <c r="F111" s="375"/>
      <c r="G111" s="375"/>
      <c r="H111" s="375"/>
      <c r="I111" s="375"/>
      <c r="J111" s="332">
        <f t="shared" si="8"/>
        <v>0</v>
      </c>
      <c r="K111" s="245">
        <f>IF((J111+'Per1'!J111+'Per2'!J111+'Per3'!J111+'Per4'!J111+'Per5'!J111+'Per6'!J111+'Per7'!J111)&lt;=24999,J111, 25000-'Per1'!K111-'Per2'!K111-'Per3'!K111-'Per4'!K111-'Per5'!K111-'Per6'!K111-'Per7'!K111)</f>
        <v>0</v>
      </c>
      <c r="L111" s="333">
        <f t="shared" si="10"/>
        <v>0</v>
      </c>
      <c r="M111" s="331">
        <f t="shared" si="7"/>
        <v>0</v>
      </c>
      <c r="N111" s="365">
        <f t="shared" si="9"/>
        <v>0</v>
      </c>
      <c r="O111" s="366"/>
    </row>
    <row r="112" spans="1:17" ht="13.5" hidden="1" customHeight="1" x14ac:dyDescent="0.2">
      <c r="A112" s="415"/>
      <c r="B112" s="471"/>
      <c r="C112" s="372">
        <f>'Per1'!C112:E112</f>
        <v>0</v>
      </c>
      <c r="D112" s="373"/>
      <c r="E112" s="374"/>
      <c r="F112" s="375"/>
      <c r="G112" s="375"/>
      <c r="H112" s="375"/>
      <c r="I112" s="375"/>
      <c r="J112" s="332">
        <f t="shared" si="8"/>
        <v>0</v>
      </c>
      <c r="K112" s="245">
        <f>IF((J112+'Per1'!J112+'Per2'!J112+'Per3'!J112+'Per4'!J112+'Per5'!J112+'Per6'!J112+'Per7'!J112)&lt;=24999,J112, 25000-'Per1'!K112-'Per2'!K112-'Per3'!K112-'Per4'!K112-'Per5'!K112-'Per6'!K112-'Per7'!K112)</f>
        <v>0</v>
      </c>
      <c r="L112" s="333">
        <f t="shared" si="10"/>
        <v>0</v>
      </c>
      <c r="M112" s="331">
        <f t="shared" si="7"/>
        <v>0</v>
      </c>
      <c r="N112" s="365">
        <f t="shared" si="9"/>
        <v>0</v>
      </c>
      <c r="O112" s="366"/>
    </row>
    <row r="113" spans="1:16" ht="13.5" hidden="1" customHeight="1" x14ac:dyDescent="0.2">
      <c r="A113" s="415"/>
      <c r="B113" s="471"/>
      <c r="C113" s="372">
        <f>'Per1'!C113:E113</f>
        <v>0</v>
      </c>
      <c r="D113" s="373"/>
      <c r="E113" s="374"/>
      <c r="F113" s="375"/>
      <c r="G113" s="375"/>
      <c r="H113" s="375"/>
      <c r="I113" s="375"/>
      <c r="J113" s="332">
        <f t="shared" si="8"/>
        <v>0</v>
      </c>
      <c r="K113" s="245">
        <f>IF((J113+'Per1'!J113+'Per2'!J113+'Per3'!J113+'Per4'!J113+'Per5'!J113+'Per6'!J113+'Per7'!J113)&lt;=24999,J113, 25000-'Per1'!K113-'Per2'!K113-'Per3'!K113-'Per4'!K113-'Per5'!K113-'Per6'!K113-'Per7'!K113)</f>
        <v>0</v>
      </c>
      <c r="L113" s="333">
        <f t="shared" si="10"/>
        <v>0</v>
      </c>
      <c r="M113" s="331">
        <f t="shared" si="7"/>
        <v>0</v>
      </c>
      <c r="N113" s="365">
        <f t="shared" si="9"/>
        <v>0</v>
      </c>
      <c r="O113" s="366"/>
    </row>
    <row r="114" spans="1:16" ht="13.5" hidden="1" customHeight="1" x14ac:dyDescent="0.2">
      <c r="A114" s="415"/>
      <c r="B114" s="471"/>
      <c r="C114" s="372">
        <f>'Per1'!C114:E114</f>
        <v>0</v>
      </c>
      <c r="D114" s="373"/>
      <c r="E114" s="374"/>
      <c r="F114" s="375"/>
      <c r="G114" s="375"/>
      <c r="H114" s="375"/>
      <c r="I114" s="375"/>
      <c r="J114" s="332">
        <f t="shared" si="8"/>
        <v>0</v>
      </c>
      <c r="K114" s="245">
        <f>IF((J114+'Per1'!J114+'Per2'!J114+'Per3'!J114+'Per4'!J114+'Per5'!J114+'Per6'!J114+'Per7'!J114)&lt;=24999,J114, 25000-'Per1'!K114-'Per2'!K114-'Per3'!K114-'Per4'!K114-'Per5'!K114-'Per6'!K114-'Per7'!K114)</f>
        <v>0</v>
      </c>
      <c r="L114" s="333">
        <f t="shared" si="10"/>
        <v>0</v>
      </c>
      <c r="M114" s="331">
        <f t="shared" si="7"/>
        <v>0</v>
      </c>
      <c r="N114" s="365">
        <f t="shared" si="9"/>
        <v>0</v>
      </c>
      <c r="O114" s="366"/>
    </row>
    <row r="115" spans="1:16" ht="13.5" hidden="1" customHeight="1" x14ac:dyDescent="0.2">
      <c r="A115" s="415"/>
      <c r="B115" s="471"/>
      <c r="C115" s="372">
        <f>'Per1'!C115:E115</f>
        <v>0</v>
      </c>
      <c r="D115" s="373"/>
      <c r="E115" s="374"/>
      <c r="F115" s="375"/>
      <c r="G115" s="375"/>
      <c r="H115" s="375"/>
      <c r="I115" s="375"/>
      <c r="J115" s="332">
        <f t="shared" si="8"/>
        <v>0</v>
      </c>
      <c r="K115" s="245">
        <f>IF((J115+'Per1'!J115+'Per2'!J115+'Per3'!J115+'Per4'!J115+'Per5'!J115+'Per6'!J115+'Per7'!J115)&lt;=24999,J115, 25000-'Per1'!K115-'Per2'!K115-'Per3'!K115-'Per4'!K115-'Per5'!K115-'Per6'!K115-'Per7'!K115)</f>
        <v>0</v>
      </c>
      <c r="L115" s="333">
        <f t="shared" si="10"/>
        <v>0</v>
      </c>
      <c r="M115" s="331">
        <f t="shared" si="7"/>
        <v>0</v>
      </c>
      <c r="N115" s="365">
        <f t="shared" si="9"/>
        <v>0</v>
      </c>
      <c r="O115" s="366"/>
    </row>
    <row r="116" spans="1:16" ht="13.5" hidden="1" customHeight="1" x14ac:dyDescent="0.2">
      <c r="A116" s="415"/>
      <c r="B116" s="471"/>
      <c r="C116" s="372">
        <f>'Per1'!C116:E116</f>
        <v>0</v>
      </c>
      <c r="D116" s="373"/>
      <c r="E116" s="374"/>
      <c r="F116" s="375"/>
      <c r="G116" s="375"/>
      <c r="H116" s="375"/>
      <c r="I116" s="375"/>
      <c r="J116" s="332">
        <f t="shared" si="8"/>
        <v>0</v>
      </c>
      <c r="K116" s="245">
        <f>IF((J116+'Per1'!J116+'Per2'!J116+'Per3'!J116+'Per4'!J116+'Per5'!J116+'Per6'!J116+'Per7'!J116)&lt;=24999,J116, 25000-'Per1'!K116-'Per2'!K116-'Per3'!K116-'Per4'!K116-'Per5'!K116-'Per6'!K116-'Per7'!K116)</f>
        <v>0</v>
      </c>
      <c r="L116" s="333">
        <f t="shared" si="10"/>
        <v>0</v>
      </c>
      <c r="M116" s="331">
        <f t="shared" si="7"/>
        <v>0</v>
      </c>
      <c r="N116" s="365">
        <f t="shared" si="9"/>
        <v>0</v>
      </c>
      <c r="O116" s="366"/>
    </row>
    <row r="117" spans="1:16" ht="13.5" hidden="1" customHeight="1" x14ac:dyDescent="0.2">
      <c r="A117" s="415"/>
      <c r="B117" s="471"/>
      <c r="C117" s="372">
        <f>'Per1'!C117:E117</f>
        <v>0</v>
      </c>
      <c r="D117" s="373"/>
      <c r="E117" s="374"/>
      <c r="F117" s="375"/>
      <c r="G117" s="375"/>
      <c r="H117" s="375"/>
      <c r="I117" s="375"/>
      <c r="J117" s="332">
        <f t="shared" si="8"/>
        <v>0</v>
      </c>
      <c r="K117" s="245">
        <f>IF((J117+'Per1'!J117+'Per2'!J117+'Per3'!J117+'Per4'!J117+'Per5'!J117+'Per6'!J117+'Per7'!J117)&lt;=24999,J117, 25000-'Per1'!K117-'Per2'!K117-'Per3'!K117-'Per4'!K117-'Per5'!K117-'Per6'!K117-'Per7'!K117)</f>
        <v>0</v>
      </c>
      <c r="L117" s="333">
        <f t="shared" si="10"/>
        <v>0</v>
      </c>
      <c r="M117" s="331">
        <f t="shared" si="7"/>
        <v>0</v>
      </c>
      <c r="N117" s="365">
        <f t="shared" si="9"/>
        <v>0</v>
      </c>
      <c r="O117" s="366"/>
    </row>
    <row r="118" spans="1:16" ht="13.5" hidden="1" customHeight="1" x14ac:dyDescent="0.2">
      <c r="A118" s="415"/>
      <c r="B118" s="471"/>
      <c r="C118" s="372">
        <f>'Per1'!C118:E118</f>
        <v>0</v>
      </c>
      <c r="D118" s="373"/>
      <c r="E118" s="374"/>
      <c r="F118" s="375"/>
      <c r="G118" s="375"/>
      <c r="H118" s="375"/>
      <c r="I118" s="375"/>
      <c r="J118" s="332">
        <f t="shared" si="8"/>
        <v>0</v>
      </c>
      <c r="K118" s="245">
        <f>IF((J118+'Per1'!J118+'Per2'!J118+'Per3'!J118+'Per4'!J118+'Per5'!J118+'Per6'!J118+'Per7'!J118)&lt;=24999,J118, 25000-'Per1'!K118-'Per2'!K118-'Per3'!K118-'Per4'!K118-'Per5'!K118-'Per6'!K118-'Per7'!K118)</f>
        <v>0</v>
      </c>
      <c r="L118" s="333">
        <f t="shared" si="10"/>
        <v>0</v>
      </c>
      <c r="M118" s="331">
        <f t="shared" si="7"/>
        <v>0</v>
      </c>
      <c r="N118" s="365">
        <f t="shared" si="9"/>
        <v>0</v>
      </c>
      <c r="O118" s="366"/>
    </row>
    <row r="119" spans="1:16" ht="13.5" hidden="1" customHeight="1" x14ac:dyDescent="0.2">
      <c r="A119" s="415"/>
      <c r="B119" s="471"/>
      <c r="C119" s="372">
        <f>'Per1'!C119:E119</f>
        <v>0</v>
      </c>
      <c r="D119" s="373"/>
      <c r="E119" s="374"/>
      <c r="F119" s="375"/>
      <c r="G119" s="375"/>
      <c r="H119" s="375"/>
      <c r="I119" s="375"/>
      <c r="J119" s="332">
        <f t="shared" si="8"/>
        <v>0</v>
      </c>
      <c r="K119" s="245">
        <f>IF((J119+'Per1'!J119+'Per2'!J119+'Per3'!J119+'Per4'!J119+'Per5'!J119+'Per6'!J119+'Per7'!J119)&lt;=24999,J119, 25000-'Per1'!K119-'Per2'!K119-'Per3'!K119-'Per4'!K119-'Per5'!K119-'Per6'!K119-'Per7'!K119)</f>
        <v>0</v>
      </c>
      <c r="L119" s="333">
        <f t="shared" si="10"/>
        <v>0</v>
      </c>
      <c r="M119" s="331">
        <f t="shared" si="7"/>
        <v>0</v>
      </c>
      <c r="N119" s="365">
        <f t="shared" si="9"/>
        <v>0</v>
      </c>
      <c r="O119" s="366"/>
    </row>
    <row r="120" spans="1:16" ht="13.5" hidden="1" customHeight="1" thickBot="1" x14ac:dyDescent="0.25">
      <c r="A120" s="415"/>
      <c r="B120" s="471"/>
      <c r="C120" s="372">
        <f>'Per1'!C120:E120</f>
        <v>0</v>
      </c>
      <c r="D120" s="373"/>
      <c r="E120" s="374"/>
      <c r="F120" s="375"/>
      <c r="G120" s="375"/>
      <c r="H120" s="375"/>
      <c r="I120" s="375"/>
      <c r="J120" s="332">
        <f t="shared" si="8"/>
        <v>0</v>
      </c>
      <c r="K120" s="245">
        <f>IF((J120+'Per1'!J120+'Per2'!J120+'Per3'!J120+'Per4'!J120+'Per5'!J120+'Per6'!J120+'Per7'!J120)&lt;=24999,J120, 25000-'Per1'!K120-'Per2'!K120-'Per3'!K120-'Per4'!K120-'Per5'!K120-'Per6'!K120-'Per7'!K120)</f>
        <v>0</v>
      </c>
      <c r="L120" s="333">
        <f t="shared" si="10"/>
        <v>0</v>
      </c>
      <c r="M120" s="331">
        <f t="shared" si="7"/>
        <v>0</v>
      </c>
      <c r="N120" s="479">
        <f t="shared" si="9"/>
        <v>0</v>
      </c>
      <c r="O120" s="480"/>
    </row>
    <row r="121" spans="1:16" ht="13.5" customHeight="1" thickBot="1" x14ac:dyDescent="0.25">
      <c r="A121" s="416"/>
      <c r="B121" s="472"/>
      <c r="C121" s="436" t="s">
        <v>163</v>
      </c>
      <c r="D121" s="436"/>
      <c r="E121" s="437"/>
      <c r="F121" s="379">
        <f>SUM(F101:G120)</f>
        <v>0</v>
      </c>
      <c r="G121" s="379"/>
      <c r="H121" s="379">
        <f>SUM(H101:I120)</f>
        <v>0</v>
      </c>
      <c r="I121" s="379"/>
      <c r="J121" s="334">
        <f>SUM(J101:J120)</f>
        <v>0</v>
      </c>
      <c r="K121" s="247">
        <f>SUM(K101:K120)</f>
        <v>0</v>
      </c>
      <c r="L121" s="335">
        <f>SUM(L101:L120)</f>
        <v>0</v>
      </c>
      <c r="M121" s="336">
        <f>SUM(M101:M120)</f>
        <v>0</v>
      </c>
      <c r="N121" s="248"/>
      <c r="O121" s="249"/>
    </row>
    <row r="122" spans="1:16" ht="18" hidden="1" customHeight="1" thickBot="1" x14ac:dyDescent="0.25">
      <c r="A122" s="574"/>
      <c r="B122" s="574"/>
      <c r="C122" s="574"/>
      <c r="D122" s="574"/>
      <c r="E122" s="574"/>
      <c r="F122" s="574"/>
      <c r="G122" s="574"/>
      <c r="H122" s="574"/>
      <c r="I122" s="574"/>
      <c r="J122" s="574"/>
      <c r="K122" s="574"/>
      <c r="L122" s="574"/>
      <c r="M122" s="574"/>
      <c r="N122" s="540"/>
      <c r="O122" s="540"/>
      <c r="P122" s="31"/>
    </row>
    <row r="123" spans="1:16" ht="18" hidden="1" customHeight="1" x14ac:dyDescent="0.2">
      <c r="A123" s="218"/>
      <c r="B123" s="218"/>
      <c r="C123" s="218"/>
      <c r="D123" s="218"/>
      <c r="E123" s="218"/>
      <c r="F123" s="219" t="s">
        <v>164</v>
      </c>
      <c r="G123" s="218">
        <f>IF(MONTH(L5)&lt;9,YEAR(L5),YEAR(L5)+1)</f>
        <v>2032</v>
      </c>
      <c r="H123" s="218"/>
      <c r="I123" s="219" t="s">
        <v>165</v>
      </c>
      <c r="J123" s="219" t="s">
        <v>166</v>
      </c>
      <c r="K123" s="219" t="s">
        <v>167</v>
      </c>
      <c r="L123" s="124"/>
      <c r="M123" s="124"/>
      <c r="N123" s="124"/>
      <c r="O123" s="124"/>
      <c r="P123" s="31"/>
    </row>
    <row r="124" spans="1:16" ht="18" hidden="1" customHeight="1" x14ac:dyDescent="0.2">
      <c r="A124" s="218"/>
      <c r="B124" s="218"/>
      <c r="C124" s="218"/>
      <c r="D124" s="218"/>
      <c r="E124" s="218"/>
      <c r="F124" s="218"/>
      <c r="G124" s="218"/>
      <c r="H124" s="218"/>
      <c r="I124" s="218">
        <v>2018</v>
      </c>
      <c r="J124" s="218">
        <v>0.47</v>
      </c>
      <c r="K124" s="220">
        <f>DATE(I124,8,31)</f>
        <v>43343</v>
      </c>
      <c r="L124" s="124"/>
      <c r="M124" s="124"/>
      <c r="N124" s="124"/>
      <c r="O124" s="124"/>
      <c r="P124" s="31"/>
    </row>
    <row r="125" spans="1:16" ht="18" hidden="1" customHeight="1" x14ac:dyDescent="0.2">
      <c r="A125" s="218"/>
      <c r="B125" s="218"/>
      <c r="C125" s="218"/>
      <c r="D125" s="218"/>
      <c r="E125" s="218"/>
      <c r="F125" s="218"/>
      <c r="G125" s="218"/>
      <c r="H125" s="218"/>
      <c r="I125" s="218">
        <v>2019</v>
      </c>
      <c r="J125" s="218">
        <v>0.49</v>
      </c>
      <c r="K125" s="220">
        <f t="shared" ref="K125:K142" si="11">DATE(I125,8,31)</f>
        <v>43708</v>
      </c>
      <c r="L125" s="124"/>
      <c r="M125" s="124"/>
      <c r="N125" s="124"/>
      <c r="O125" s="124"/>
      <c r="P125" s="31"/>
    </row>
    <row r="126" spans="1:16" ht="18" hidden="1" customHeight="1" x14ac:dyDescent="0.2">
      <c r="A126" s="218"/>
      <c r="B126" s="218"/>
      <c r="C126" s="218"/>
      <c r="D126" s="218"/>
      <c r="E126" s="218"/>
      <c r="F126" s="218"/>
      <c r="G126" s="218"/>
      <c r="H126" s="218"/>
      <c r="I126" s="218">
        <v>2020</v>
      </c>
      <c r="J126" s="218">
        <v>0.495</v>
      </c>
      <c r="K126" s="220">
        <f t="shared" si="11"/>
        <v>44074</v>
      </c>
      <c r="L126" s="124"/>
      <c r="M126" s="124"/>
      <c r="N126" s="124"/>
      <c r="O126" s="124"/>
      <c r="P126" s="31"/>
    </row>
    <row r="127" spans="1:16" ht="18" hidden="1" customHeight="1" x14ac:dyDescent="0.2">
      <c r="A127" s="218"/>
      <c r="B127" s="218"/>
      <c r="C127" s="218"/>
      <c r="D127" s="218"/>
      <c r="E127" s="218"/>
      <c r="F127" s="218"/>
      <c r="G127" s="218"/>
      <c r="H127" s="218"/>
      <c r="I127" s="218">
        <v>2021</v>
      </c>
      <c r="J127" s="218">
        <v>0.5</v>
      </c>
      <c r="K127" s="220">
        <f t="shared" si="11"/>
        <v>44439</v>
      </c>
      <c r="L127" s="124"/>
      <c r="M127" s="124"/>
      <c r="N127" s="124"/>
      <c r="O127" s="124"/>
      <c r="P127" s="31"/>
    </row>
    <row r="128" spans="1:16" ht="18" hidden="1" customHeight="1" x14ac:dyDescent="0.2">
      <c r="A128" s="218"/>
      <c r="B128" s="218"/>
      <c r="C128" s="218"/>
      <c r="D128" s="218"/>
      <c r="E128" s="218"/>
      <c r="F128" s="218"/>
      <c r="G128" s="218"/>
      <c r="H128" s="218"/>
      <c r="I128" s="218">
        <v>2022</v>
      </c>
      <c r="J128" s="218">
        <v>0.5</v>
      </c>
      <c r="K128" s="220">
        <f t="shared" si="11"/>
        <v>44804</v>
      </c>
      <c r="L128" s="124"/>
      <c r="M128" s="124"/>
      <c r="N128" s="124"/>
      <c r="O128" s="124"/>
      <c r="P128" s="31"/>
    </row>
    <row r="129" spans="1:17" ht="18" hidden="1" customHeight="1" x14ac:dyDescent="0.2">
      <c r="A129" s="218"/>
      <c r="B129" s="218"/>
      <c r="C129" s="218"/>
      <c r="D129" s="218"/>
      <c r="E129" s="218"/>
      <c r="F129" s="218"/>
      <c r="G129" s="218"/>
      <c r="H129" s="218"/>
      <c r="I129" s="218">
        <v>2023</v>
      </c>
      <c r="J129" s="218">
        <v>0.5</v>
      </c>
      <c r="K129" s="220">
        <f t="shared" si="11"/>
        <v>45169</v>
      </c>
      <c r="L129" s="124"/>
      <c r="M129" s="124"/>
      <c r="N129" s="124"/>
      <c r="O129" s="124"/>
      <c r="P129" s="31"/>
    </row>
    <row r="130" spans="1:17" ht="18" hidden="1" customHeight="1" x14ac:dyDescent="0.2">
      <c r="A130" s="218"/>
      <c r="B130" s="218"/>
      <c r="C130" s="218"/>
      <c r="D130" s="218"/>
      <c r="E130" s="218"/>
      <c r="F130" s="218"/>
      <c r="G130" s="218"/>
      <c r="H130" s="218"/>
      <c r="I130" s="218">
        <v>2024</v>
      </c>
      <c r="J130" s="218">
        <v>0.5</v>
      </c>
      <c r="K130" s="220">
        <f t="shared" si="11"/>
        <v>45535</v>
      </c>
      <c r="L130" s="124"/>
      <c r="M130" s="124"/>
      <c r="N130" s="124"/>
      <c r="O130" s="124"/>
      <c r="P130" s="31"/>
    </row>
    <row r="131" spans="1:17" ht="18" hidden="1" customHeight="1" x14ac:dyDescent="0.2">
      <c r="A131" s="218"/>
      <c r="B131" s="218"/>
      <c r="C131" s="218"/>
      <c r="D131" s="218"/>
      <c r="E131" s="218"/>
      <c r="F131" s="218"/>
      <c r="G131" s="218"/>
      <c r="H131" s="218"/>
      <c r="I131" s="218">
        <v>2025</v>
      </c>
      <c r="J131" s="218">
        <v>0.5</v>
      </c>
      <c r="K131" s="220">
        <f t="shared" si="11"/>
        <v>45900</v>
      </c>
      <c r="L131" s="124"/>
      <c r="M131" s="124"/>
      <c r="N131" s="124"/>
      <c r="O131" s="124"/>
      <c r="P131" s="31"/>
    </row>
    <row r="132" spans="1:17" ht="18" hidden="1" customHeight="1" x14ac:dyDescent="0.2">
      <c r="A132" s="218"/>
      <c r="B132" s="218"/>
      <c r="C132" s="218"/>
      <c r="D132" s="218"/>
      <c r="E132" s="218"/>
      <c r="F132" s="218"/>
      <c r="G132" s="218"/>
      <c r="H132" s="218"/>
      <c r="I132" s="218">
        <v>2026</v>
      </c>
      <c r="J132" s="218">
        <v>0.5</v>
      </c>
      <c r="K132" s="220">
        <f t="shared" si="11"/>
        <v>46265</v>
      </c>
      <c r="L132" s="124"/>
      <c r="M132" s="124"/>
      <c r="N132" s="124"/>
      <c r="O132" s="124"/>
      <c r="P132" s="31"/>
    </row>
    <row r="133" spans="1:17" ht="18" hidden="1" customHeight="1" x14ac:dyDescent="0.2">
      <c r="A133" s="218"/>
      <c r="B133" s="218"/>
      <c r="C133" s="218"/>
      <c r="D133" s="218"/>
      <c r="E133" s="218"/>
      <c r="F133" s="218"/>
      <c r="G133" s="218"/>
      <c r="H133" s="218"/>
      <c r="I133" s="218">
        <v>2027</v>
      </c>
      <c r="J133" s="218">
        <v>0.5</v>
      </c>
      <c r="K133" s="220">
        <f t="shared" si="11"/>
        <v>46630</v>
      </c>
      <c r="L133" s="124"/>
      <c r="M133" s="124"/>
      <c r="N133" s="124"/>
      <c r="O133" s="124"/>
      <c r="P133" s="31"/>
    </row>
    <row r="134" spans="1:17" ht="18" hidden="1" customHeight="1" x14ac:dyDescent="0.2">
      <c r="A134" s="218"/>
      <c r="B134" s="218"/>
      <c r="C134" s="218"/>
      <c r="D134" s="218"/>
      <c r="E134" s="218"/>
      <c r="F134" s="218"/>
      <c r="G134" s="218"/>
      <c r="H134" s="218"/>
      <c r="I134" s="218">
        <v>2028</v>
      </c>
      <c r="J134" s="218">
        <v>0.5</v>
      </c>
      <c r="K134" s="220">
        <f t="shared" si="11"/>
        <v>46996</v>
      </c>
      <c r="L134" s="124"/>
      <c r="M134" s="124"/>
      <c r="N134" s="124"/>
      <c r="O134" s="124"/>
      <c r="P134" s="31"/>
    </row>
    <row r="135" spans="1:17" ht="18" hidden="1" customHeight="1" x14ac:dyDescent="0.2">
      <c r="A135" s="218"/>
      <c r="B135" s="218"/>
      <c r="C135" s="218"/>
      <c r="D135" s="218"/>
      <c r="E135" s="218"/>
      <c r="F135" s="218"/>
      <c r="G135" s="218"/>
      <c r="H135" s="218"/>
      <c r="I135" s="218">
        <v>2029</v>
      </c>
      <c r="J135" s="218">
        <v>0.5</v>
      </c>
      <c r="K135" s="220">
        <f t="shared" si="11"/>
        <v>47361</v>
      </c>
      <c r="L135" s="124"/>
      <c r="M135" s="124"/>
      <c r="N135" s="124"/>
      <c r="O135" s="124"/>
      <c r="P135" s="31"/>
    </row>
    <row r="136" spans="1:17" ht="18" hidden="1" customHeight="1" x14ac:dyDescent="0.2">
      <c r="A136" s="218"/>
      <c r="B136" s="218"/>
      <c r="C136" s="218"/>
      <c r="D136" s="218"/>
      <c r="E136" s="218"/>
      <c r="F136" s="218"/>
      <c r="G136" s="218"/>
      <c r="H136" s="218"/>
      <c r="I136" s="218">
        <v>2030</v>
      </c>
      <c r="J136" s="218">
        <v>0.5</v>
      </c>
      <c r="K136" s="220">
        <f t="shared" si="11"/>
        <v>47726</v>
      </c>
      <c r="L136" s="124"/>
      <c r="M136" s="124"/>
      <c r="N136" s="124"/>
      <c r="O136" s="124"/>
      <c r="P136" s="31"/>
    </row>
    <row r="137" spans="1:17" ht="18" hidden="1" customHeight="1" x14ac:dyDescent="0.2">
      <c r="A137" s="218"/>
      <c r="B137" s="218"/>
      <c r="C137" s="218"/>
      <c r="D137" s="218"/>
      <c r="E137" s="218"/>
      <c r="F137" s="218"/>
      <c r="G137" s="218"/>
      <c r="H137" s="218"/>
      <c r="I137" s="218">
        <v>2031</v>
      </c>
      <c r="J137" s="218">
        <v>0.5</v>
      </c>
      <c r="K137" s="220">
        <f t="shared" si="11"/>
        <v>48091</v>
      </c>
      <c r="L137" s="124"/>
      <c r="M137" s="124"/>
      <c r="N137" s="124"/>
      <c r="O137" s="124"/>
      <c r="P137" s="31"/>
    </row>
    <row r="138" spans="1:17" ht="18" hidden="1" customHeight="1" x14ac:dyDescent="0.2">
      <c r="A138" s="218"/>
      <c r="B138" s="218"/>
      <c r="C138" s="218"/>
      <c r="D138" s="218"/>
      <c r="E138" s="218"/>
      <c r="F138" s="218"/>
      <c r="G138" s="218"/>
      <c r="H138" s="218"/>
      <c r="I138" s="218">
        <v>2032</v>
      </c>
      <c r="J138" s="218">
        <v>0.5</v>
      </c>
      <c r="K138" s="220">
        <f t="shared" si="11"/>
        <v>48457</v>
      </c>
      <c r="L138" s="124"/>
      <c r="M138" s="124"/>
      <c r="N138" s="124"/>
      <c r="O138" s="124"/>
      <c r="P138" s="31"/>
    </row>
    <row r="139" spans="1:17" ht="18" hidden="1" customHeight="1" x14ac:dyDescent="0.2">
      <c r="A139" s="218"/>
      <c r="B139" s="218"/>
      <c r="C139" s="218"/>
      <c r="D139" s="218"/>
      <c r="E139" s="218"/>
      <c r="F139" s="218"/>
      <c r="G139" s="218"/>
      <c r="H139" s="218"/>
      <c r="I139" s="218">
        <v>2033</v>
      </c>
      <c r="J139" s="218">
        <v>0.5</v>
      </c>
      <c r="K139" s="220">
        <f t="shared" si="11"/>
        <v>48822</v>
      </c>
      <c r="L139" s="124"/>
      <c r="M139" s="124"/>
      <c r="N139" s="124"/>
      <c r="O139" s="124"/>
      <c r="P139" s="31"/>
    </row>
    <row r="140" spans="1:17" ht="18" hidden="1" customHeight="1" x14ac:dyDescent="0.2">
      <c r="A140" s="218"/>
      <c r="B140" s="218"/>
      <c r="C140" s="218"/>
      <c r="D140" s="218"/>
      <c r="E140" s="218"/>
      <c r="F140" s="218"/>
      <c r="G140" s="218"/>
      <c r="H140" s="218"/>
      <c r="I140" s="218">
        <v>2034</v>
      </c>
      <c r="J140" s="218">
        <v>0.5</v>
      </c>
      <c r="K140" s="220">
        <f t="shared" si="11"/>
        <v>49187</v>
      </c>
      <c r="L140" s="124"/>
      <c r="M140" s="124"/>
      <c r="N140" s="124"/>
      <c r="O140" s="124"/>
      <c r="P140" s="31"/>
    </row>
    <row r="141" spans="1:17" ht="18" hidden="1" customHeight="1" x14ac:dyDescent="0.2">
      <c r="A141" s="218"/>
      <c r="B141" s="218"/>
      <c r="C141" s="218"/>
      <c r="D141" s="218"/>
      <c r="E141" s="218"/>
      <c r="F141" s="218"/>
      <c r="G141" s="218"/>
      <c r="H141" s="218"/>
      <c r="I141" s="218">
        <v>2035</v>
      </c>
      <c r="J141" s="218">
        <v>0.5</v>
      </c>
      <c r="K141" s="220">
        <f t="shared" si="11"/>
        <v>49552</v>
      </c>
      <c r="L141" s="124"/>
      <c r="M141" s="124"/>
      <c r="N141" s="124"/>
      <c r="O141" s="124"/>
      <c r="P141" s="31"/>
    </row>
    <row r="142" spans="1:17" ht="18" hidden="1" customHeight="1" x14ac:dyDescent="0.2">
      <c r="A142" s="218"/>
      <c r="B142" s="218"/>
      <c r="C142" s="218"/>
      <c r="D142" s="218"/>
      <c r="E142" s="218"/>
      <c r="F142" s="218"/>
      <c r="G142" s="218"/>
      <c r="H142" s="218"/>
      <c r="I142" s="218">
        <v>2036</v>
      </c>
      <c r="J142" s="218">
        <v>0.5</v>
      </c>
      <c r="K142" s="220">
        <f t="shared" si="11"/>
        <v>49918</v>
      </c>
      <c r="L142" s="124"/>
      <c r="M142" s="124"/>
      <c r="N142" s="124"/>
      <c r="O142" s="124"/>
      <c r="P142" s="31"/>
    </row>
    <row r="143" spans="1:17" ht="18" customHeight="1" thickBot="1" x14ac:dyDescent="0.25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31"/>
    </row>
    <row r="144" spans="1:17" ht="13.5" customHeight="1" x14ac:dyDescent="0.2">
      <c r="A144" s="414" t="s">
        <v>168</v>
      </c>
      <c r="B144" s="534" t="s">
        <v>169</v>
      </c>
      <c r="C144" s="535"/>
      <c r="D144" s="535"/>
      <c r="E144" s="535"/>
      <c r="F144" s="536"/>
      <c r="G144" s="427" t="s">
        <v>170</v>
      </c>
      <c r="H144" s="428"/>
      <c r="I144" s="428"/>
      <c r="J144" s="428"/>
      <c r="K144" s="429"/>
      <c r="L144" s="464" t="s">
        <v>171</v>
      </c>
      <c r="M144" s="465"/>
      <c r="N144" s="466"/>
      <c r="O144" s="337">
        <f>O155-H121</f>
        <v>0</v>
      </c>
      <c r="P144" s="150"/>
      <c r="Q144" s="1" t="s">
        <v>172</v>
      </c>
    </row>
    <row r="145" spans="1:17" ht="13.5" customHeight="1" x14ac:dyDescent="0.2">
      <c r="A145" s="415"/>
      <c r="B145" s="537"/>
      <c r="C145" s="538"/>
      <c r="D145" s="538"/>
      <c r="E145" s="538"/>
      <c r="F145" s="539"/>
      <c r="G145" s="430"/>
      <c r="H145" s="431"/>
      <c r="I145" s="431"/>
      <c r="J145" s="431"/>
      <c r="K145" s="432"/>
      <c r="L145" s="476" t="s">
        <v>173</v>
      </c>
      <c r="M145" s="477"/>
      <c r="N145" s="478"/>
      <c r="O145" s="338">
        <f>H121</f>
        <v>0</v>
      </c>
      <c r="P145" s="150"/>
    </row>
    <row r="146" spans="1:17" ht="13.5" customHeight="1" x14ac:dyDescent="0.2">
      <c r="A146" s="415"/>
      <c r="B146" s="369" t="s">
        <v>174</v>
      </c>
      <c r="C146" s="370"/>
      <c r="D146" s="370"/>
      <c r="E146" s="370"/>
      <c r="F146" s="371"/>
      <c r="G146" s="430"/>
      <c r="H146" s="431"/>
      <c r="I146" s="431"/>
      <c r="J146" s="431"/>
      <c r="K146" s="432"/>
      <c r="L146" s="376" t="s">
        <v>175</v>
      </c>
      <c r="M146" s="377"/>
      <c r="N146" s="378"/>
      <c r="O146" s="339">
        <f>O155-O87-O83-O92-O99+K121</f>
        <v>0</v>
      </c>
      <c r="P146" s="150"/>
      <c r="Q146" s="225" t="s">
        <v>176</v>
      </c>
    </row>
    <row r="147" spans="1:17" ht="13.5" customHeight="1" x14ac:dyDescent="0.3">
      <c r="A147" s="415"/>
      <c r="B147" s="226"/>
      <c r="C147" s="118" t="s">
        <v>177</v>
      </c>
      <c r="D147" s="118"/>
      <c r="E147" s="118"/>
      <c r="F147" s="227">
        <v>0.5</v>
      </c>
      <c r="G147" s="430"/>
      <c r="H147" s="431"/>
      <c r="I147" s="431"/>
      <c r="J147" s="431"/>
      <c r="K147" s="432"/>
      <c r="L147" s="153" t="s">
        <v>178</v>
      </c>
      <c r="M147" s="113">
        <f>VLOOKUP($G$123,$I$124:$J$142,2,FALSE)</f>
        <v>0.5</v>
      </c>
      <c r="N147" s="250" t="s">
        <v>179</v>
      </c>
      <c r="O147" s="340">
        <f>IF($L$7-VLOOKUP($G$123,$I$124:$K$142,3,FALSE)&lt;0,$O$146,ROUND((1-($L$7-VLOOKUP($G$123,$I$124:$K$142,3,FALSE))/($L$7+1-$L$5))*$O$146,0))</f>
        <v>0</v>
      </c>
      <c r="P147" s="33"/>
      <c r="Q147" s="108"/>
    </row>
    <row r="148" spans="1:17" ht="13.5" customHeight="1" x14ac:dyDescent="0.3">
      <c r="A148" s="415"/>
      <c r="B148" s="226"/>
      <c r="C148" s="118" t="s">
        <v>180</v>
      </c>
      <c r="D148" s="118"/>
      <c r="E148" s="118"/>
      <c r="F148" s="227">
        <v>0.5</v>
      </c>
      <c r="G148" s="430"/>
      <c r="H148" s="431"/>
      <c r="I148" s="431"/>
      <c r="J148" s="431"/>
      <c r="K148" s="432"/>
      <c r="L148" s="154" t="s">
        <v>181</v>
      </c>
      <c r="M148" s="113">
        <f>VLOOKUP($G$123+1,$I$124:$J$142,2,FALSE)</f>
        <v>0.5</v>
      </c>
      <c r="N148" s="250" t="s">
        <v>182</v>
      </c>
      <c r="O148" s="340">
        <f>O146-O147</f>
        <v>0</v>
      </c>
      <c r="P148" s="33"/>
    </row>
    <row r="149" spans="1:17" ht="13.5" customHeight="1" x14ac:dyDescent="0.3">
      <c r="A149" s="415"/>
      <c r="B149" s="226"/>
      <c r="C149" s="118" t="s">
        <v>183</v>
      </c>
      <c r="D149" s="118"/>
      <c r="E149" s="118"/>
      <c r="F149" s="227">
        <v>0.36</v>
      </c>
      <c r="G149" s="430"/>
      <c r="H149" s="431"/>
      <c r="I149" s="431"/>
      <c r="J149" s="431"/>
      <c r="K149" s="432"/>
      <c r="L149" s="528" t="s">
        <v>184</v>
      </c>
      <c r="M149" s="529"/>
      <c r="N149" s="530"/>
      <c r="O149" s="341">
        <f>ROUND(M147*O147,0)</f>
        <v>0</v>
      </c>
      <c r="P149" s="33"/>
    </row>
    <row r="150" spans="1:17" ht="13.5" customHeight="1" x14ac:dyDescent="0.3">
      <c r="A150" s="415"/>
      <c r="B150" s="228"/>
      <c r="C150" s="229"/>
      <c r="D150" s="229"/>
      <c r="E150" s="229"/>
      <c r="F150" s="230"/>
      <c r="G150" s="433"/>
      <c r="H150" s="434"/>
      <c r="I150" s="434"/>
      <c r="J150" s="434"/>
      <c r="K150" s="435"/>
      <c r="L150" s="554" t="s">
        <v>185</v>
      </c>
      <c r="M150" s="555"/>
      <c r="N150" s="556"/>
      <c r="O150" s="342">
        <f>ROUND(M148*O148,0)</f>
        <v>0</v>
      </c>
      <c r="P150" s="33"/>
    </row>
    <row r="151" spans="1:17" ht="13.5" customHeight="1" x14ac:dyDescent="0.2">
      <c r="A151" s="415"/>
      <c r="B151" s="369" t="s">
        <v>186</v>
      </c>
      <c r="C151" s="370"/>
      <c r="D151" s="370"/>
      <c r="E151" s="370"/>
      <c r="F151" s="371"/>
      <c r="G151" s="545" t="s">
        <v>187</v>
      </c>
      <c r="H151" s="546"/>
      <c r="I151" s="546"/>
      <c r="J151" s="546"/>
      <c r="K151" s="546"/>
      <c r="L151" s="546"/>
      <c r="M151" s="546"/>
      <c r="N151" s="546"/>
      <c r="O151" s="547"/>
      <c r="P151" s="155"/>
    </row>
    <row r="152" spans="1:17" ht="13.5" customHeight="1" x14ac:dyDescent="0.2">
      <c r="A152" s="415"/>
      <c r="B152" s="226"/>
      <c r="C152" s="118" t="s">
        <v>188</v>
      </c>
      <c r="D152" s="118"/>
      <c r="E152" s="118"/>
      <c r="F152" s="227">
        <v>0.26</v>
      </c>
      <c r="G152" s="548"/>
      <c r="H152" s="549"/>
      <c r="I152" s="549"/>
      <c r="J152" s="549"/>
      <c r="K152" s="549"/>
      <c r="L152" s="549"/>
      <c r="M152" s="549"/>
      <c r="N152" s="549"/>
      <c r="O152" s="550"/>
      <c r="P152" s="155"/>
    </row>
    <row r="153" spans="1:17" ht="14.25" customHeight="1" thickBot="1" x14ac:dyDescent="0.25">
      <c r="A153" s="416"/>
      <c r="B153" s="226"/>
      <c r="C153" s="118"/>
      <c r="D153" s="118"/>
      <c r="E153" s="118"/>
      <c r="F153" s="227"/>
      <c r="G153" s="551"/>
      <c r="H153" s="552"/>
      <c r="I153" s="552"/>
      <c r="J153" s="552"/>
      <c r="K153" s="552"/>
      <c r="L153" s="552"/>
      <c r="M153" s="552"/>
      <c r="N153" s="552"/>
      <c r="O153" s="553"/>
      <c r="P153" s="155"/>
    </row>
    <row r="154" spans="1:17" ht="18" customHeight="1" thickBot="1" x14ac:dyDescent="0.25">
      <c r="A154" s="417"/>
      <c r="B154" s="417"/>
      <c r="C154" s="417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31"/>
    </row>
    <row r="155" spans="1:17" ht="17.100000000000001" customHeight="1" x14ac:dyDescent="0.25">
      <c r="A155" s="398" t="s">
        <v>189</v>
      </c>
      <c r="B155" s="399"/>
      <c r="C155" s="404" t="s">
        <v>190</v>
      </c>
      <c r="D155" s="405"/>
      <c r="E155" s="405"/>
      <c r="F155" s="410"/>
      <c r="G155" s="411"/>
      <c r="H155" s="17"/>
      <c r="I155" s="414" t="s">
        <v>191</v>
      </c>
      <c r="J155" s="438" t="str">
        <f>K3</f>
        <v>Period 8</v>
      </c>
      <c r="K155" s="453" t="s">
        <v>192</v>
      </c>
      <c r="L155" s="454"/>
      <c r="M155" s="454"/>
      <c r="N155" s="455"/>
      <c r="O155" s="343">
        <f>O37+O83+O66+O87+O69+O99+O92</f>
        <v>0</v>
      </c>
      <c r="P155" s="156"/>
    </row>
    <row r="156" spans="1:17" ht="17.100000000000001" customHeight="1" x14ac:dyDescent="0.25">
      <c r="A156" s="400"/>
      <c r="B156" s="401"/>
      <c r="C156" s="407"/>
      <c r="D156" s="408"/>
      <c r="E156" s="408"/>
      <c r="F156" s="412"/>
      <c r="G156" s="413"/>
      <c r="H156" s="17"/>
      <c r="I156" s="415"/>
      <c r="J156" s="439"/>
      <c r="K156" s="444" t="s">
        <v>193</v>
      </c>
      <c r="L156" s="445"/>
      <c r="M156" s="445"/>
      <c r="N156" s="446"/>
      <c r="O156" s="344">
        <f>O149+O150</f>
        <v>0</v>
      </c>
      <c r="P156" s="156"/>
      <c r="Q156" s="23"/>
    </row>
    <row r="157" spans="1:17" ht="17.100000000000001" customHeight="1" thickBot="1" x14ac:dyDescent="0.3">
      <c r="A157" s="402"/>
      <c r="B157" s="403"/>
      <c r="C157" s="441" t="s">
        <v>194</v>
      </c>
      <c r="D157" s="442"/>
      <c r="E157" s="443"/>
      <c r="F157" s="394" t="str">
        <f>IF(O158&lt;&gt;0,F155/O158,"-")</f>
        <v>-</v>
      </c>
      <c r="G157" s="395"/>
      <c r="H157" s="17"/>
      <c r="I157" s="415"/>
      <c r="J157" s="439"/>
      <c r="K157" s="447" t="s">
        <v>195</v>
      </c>
      <c r="L157" s="448"/>
      <c r="M157" s="448"/>
      <c r="N157" s="449"/>
      <c r="O157" s="345">
        <f>O155+O156</f>
        <v>0</v>
      </c>
      <c r="P157" s="156"/>
    </row>
    <row r="158" spans="1:17" ht="17.100000000000001" customHeight="1" thickBot="1" x14ac:dyDescent="0.3">
      <c r="A158" s="396"/>
      <c r="B158" s="396"/>
      <c r="C158" s="396"/>
      <c r="D158" s="396"/>
      <c r="E158" s="396"/>
      <c r="F158" s="396"/>
      <c r="G158" s="396"/>
      <c r="H158" s="397"/>
      <c r="I158" s="416"/>
      <c r="J158" s="440"/>
      <c r="K158" s="450" t="s">
        <v>196</v>
      </c>
      <c r="L158" s="451"/>
      <c r="M158" s="451"/>
      <c r="N158" s="452"/>
      <c r="O158" s="346">
        <f>O157+F155</f>
        <v>0</v>
      </c>
      <c r="P158" s="156"/>
    </row>
    <row r="166" spans="17:17" x14ac:dyDescent="0.2">
      <c r="Q166" s="23"/>
    </row>
  </sheetData>
  <sheetProtection algorithmName="SHA-512" hashValue="20YdpkImwpQsAmybcbyNgLlJ8fOjlaw9XTrL3bJrhHSCnqfTQkY6QIRknh6k9TPmdjakvfxz47SUI8dsK5aGvg==" saltValue="m1Ax1N4dob1cSk6DSwdWGw==" spinCount="100000" sheet="1" formatRows="0" insertRows="0"/>
  <mergeCells count="224">
    <mergeCell ref="A154:O154"/>
    <mergeCell ref="A155:B157"/>
    <mergeCell ref="C155:E156"/>
    <mergeCell ref="F155:G156"/>
    <mergeCell ref="I155:I158"/>
    <mergeCell ref="J155:J158"/>
    <mergeCell ref="C157:E157"/>
    <mergeCell ref="F157:G157"/>
    <mergeCell ref="K157:N157"/>
    <mergeCell ref="A158:H158"/>
    <mergeCell ref="K158:N158"/>
    <mergeCell ref="A5:C6"/>
    <mergeCell ref="D5:F6"/>
    <mergeCell ref="K5:K6"/>
    <mergeCell ref="L5:L6"/>
    <mergeCell ref="A7:C10"/>
    <mergeCell ref="D7:F10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A36:O36"/>
    <mergeCell ref="A37:A81"/>
    <mergeCell ref="B38:C38"/>
    <mergeCell ref="G38:H38"/>
    <mergeCell ref="B39:C39"/>
    <mergeCell ref="G39:H39"/>
    <mergeCell ref="B40:C40"/>
    <mergeCell ref="G40:H40"/>
    <mergeCell ref="B41:C41"/>
    <mergeCell ref="B45:C45"/>
    <mergeCell ref="G45:H45"/>
    <mergeCell ref="B46:C46"/>
    <mergeCell ref="G46:H46"/>
    <mergeCell ref="B47:C47"/>
    <mergeCell ref="G47:H47"/>
    <mergeCell ref="G41:H41"/>
    <mergeCell ref="B42:C42"/>
    <mergeCell ref="G42:H42"/>
    <mergeCell ref="B43:C43"/>
    <mergeCell ref="G43:H43"/>
    <mergeCell ref="B44:C44"/>
    <mergeCell ref="G44:H44"/>
    <mergeCell ref="B51:C51"/>
    <mergeCell ref="G51:H51"/>
    <mergeCell ref="B52:C52"/>
    <mergeCell ref="G52:H52"/>
    <mergeCell ref="B53:C53"/>
    <mergeCell ref="G53:H53"/>
    <mergeCell ref="B48:C48"/>
    <mergeCell ref="G48:H48"/>
    <mergeCell ref="B49:C49"/>
    <mergeCell ref="G49:H49"/>
    <mergeCell ref="B50:C50"/>
    <mergeCell ref="G50:H50"/>
    <mergeCell ref="B57:C57"/>
    <mergeCell ref="G57:H57"/>
    <mergeCell ref="B58:C58"/>
    <mergeCell ref="G58:H58"/>
    <mergeCell ref="B59:C59"/>
    <mergeCell ref="G59:H59"/>
    <mergeCell ref="B54:C54"/>
    <mergeCell ref="G54:H54"/>
    <mergeCell ref="B55:C55"/>
    <mergeCell ref="G55:H55"/>
    <mergeCell ref="B56:C56"/>
    <mergeCell ref="G56:H56"/>
    <mergeCell ref="B63:C63"/>
    <mergeCell ref="G63:H63"/>
    <mergeCell ref="B64:C64"/>
    <mergeCell ref="G64:H64"/>
    <mergeCell ref="B65:C65"/>
    <mergeCell ref="G65:H65"/>
    <mergeCell ref="B60:C60"/>
    <mergeCell ref="G60:H60"/>
    <mergeCell ref="B61:C61"/>
    <mergeCell ref="G61:H61"/>
    <mergeCell ref="B62:C62"/>
    <mergeCell ref="G62:H62"/>
    <mergeCell ref="B70:N70"/>
    <mergeCell ref="B78:N78"/>
    <mergeCell ref="B79:N79"/>
    <mergeCell ref="B66:M66"/>
    <mergeCell ref="B67:N67"/>
    <mergeCell ref="B68:N68"/>
    <mergeCell ref="B69:M69"/>
    <mergeCell ref="B71:M71"/>
    <mergeCell ref="B72:M72"/>
    <mergeCell ref="B73:M73"/>
    <mergeCell ref="B74:M74"/>
    <mergeCell ref="B75:M75"/>
    <mergeCell ref="B76:M76"/>
    <mergeCell ref="B77:N77"/>
    <mergeCell ref="B89:N89"/>
    <mergeCell ref="B90:N90"/>
    <mergeCell ref="B91:N91"/>
    <mergeCell ref="B92:M92"/>
    <mergeCell ref="B93:N93"/>
    <mergeCell ref="B94:N94"/>
    <mergeCell ref="B80:N80"/>
    <mergeCell ref="B81:N81"/>
    <mergeCell ref="A82:O82"/>
    <mergeCell ref="A83:A97"/>
    <mergeCell ref="B83:M83"/>
    <mergeCell ref="B84:N84"/>
    <mergeCell ref="B85:N85"/>
    <mergeCell ref="B86:N86"/>
    <mergeCell ref="B87:M87"/>
    <mergeCell ref="B88:N88"/>
    <mergeCell ref="B95:N95"/>
    <mergeCell ref="B96:N96"/>
    <mergeCell ref="B97:N97"/>
    <mergeCell ref="B98:O98"/>
    <mergeCell ref="A99:A121"/>
    <mergeCell ref="B99:M99"/>
    <mergeCell ref="B100:B121"/>
    <mergeCell ref="C103:E103"/>
    <mergeCell ref="F103:G103"/>
    <mergeCell ref="H103:I103"/>
    <mergeCell ref="N103:O103"/>
    <mergeCell ref="C104:E104"/>
    <mergeCell ref="F104:G104"/>
    <mergeCell ref="H104:I104"/>
    <mergeCell ref="N104:O104"/>
    <mergeCell ref="C101:E101"/>
    <mergeCell ref="F101:G101"/>
    <mergeCell ref="H101:I101"/>
    <mergeCell ref="N101:O101"/>
    <mergeCell ref="C102:E102"/>
    <mergeCell ref="F102:G102"/>
    <mergeCell ref="H102:I102"/>
    <mergeCell ref="N102:O102"/>
    <mergeCell ref="C107:E107"/>
    <mergeCell ref="F107:G107"/>
    <mergeCell ref="H107:I107"/>
    <mergeCell ref="N107:O107"/>
    <mergeCell ref="C108:E108"/>
    <mergeCell ref="F108:G108"/>
    <mergeCell ref="H108:I108"/>
    <mergeCell ref="N108:O108"/>
    <mergeCell ref="C105:E105"/>
    <mergeCell ref="F105:G105"/>
    <mergeCell ref="H105:I105"/>
    <mergeCell ref="N105:O105"/>
    <mergeCell ref="C106:E106"/>
    <mergeCell ref="F106:G106"/>
    <mergeCell ref="H106:I106"/>
    <mergeCell ref="N106:O106"/>
    <mergeCell ref="C111:E111"/>
    <mergeCell ref="F111:G111"/>
    <mergeCell ref="H111:I111"/>
    <mergeCell ref="N111:O111"/>
    <mergeCell ref="C112:E112"/>
    <mergeCell ref="F112:G112"/>
    <mergeCell ref="H112:I112"/>
    <mergeCell ref="N112:O112"/>
    <mergeCell ref="C109:E109"/>
    <mergeCell ref="F109:G109"/>
    <mergeCell ref="H109:I109"/>
    <mergeCell ref="N109:O109"/>
    <mergeCell ref="C110:E110"/>
    <mergeCell ref="F110:G110"/>
    <mergeCell ref="H110:I110"/>
    <mergeCell ref="N110:O110"/>
    <mergeCell ref="C115:E115"/>
    <mergeCell ref="F115:G115"/>
    <mergeCell ref="H115:I115"/>
    <mergeCell ref="N115:O115"/>
    <mergeCell ref="C116:E116"/>
    <mergeCell ref="F116:G116"/>
    <mergeCell ref="H116:I116"/>
    <mergeCell ref="N116:O116"/>
    <mergeCell ref="C113:E113"/>
    <mergeCell ref="F113:G113"/>
    <mergeCell ref="H113:I113"/>
    <mergeCell ref="N113:O113"/>
    <mergeCell ref="C114:E114"/>
    <mergeCell ref="F114:G114"/>
    <mergeCell ref="H114:I114"/>
    <mergeCell ref="N114:O114"/>
    <mergeCell ref="F119:G119"/>
    <mergeCell ref="H119:I119"/>
    <mergeCell ref="N119:O119"/>
    <mergeCell ref="C120:E120"/>
    <mergeCell ref="F120:G120"/>
    <mergeCell ref="H120:I120"/>
    <mergeCell ref="N120:O120"/>
    <mergeCell ref="C117:E117"/>
    <mergeCell ref="F117:G117"/>
    <mergeCell ref="H117:I117"/>
    <mergeCell ref="N117:O117"/>
    <mergeCell ref="C118:E118"/>
    <mergeCell ref="F118:G118"/>
    <mergeCell ref="H118:I118"/>
    <mergeCell ref="N118:O118"/>
    <mergeCell ref="F100:G100"/>
    <mergeCell ref="H100:I100"/>
    <mergeCell ref="N100:O100"/>
    <mergeCell ref="B146:F146"/>
    <mergeCell ref="B151:F151"/>
    <mergeCell ref="B37:J37"/>
    <mergeCell ref="K37:L37"/>
    <mergeCell ref="K155:N155"/>
    <mergeCell ref="K156:N156"/>
    <mergeCell ref="L146:N146"/>
    <mergeCell ref="C121:E121"/>
    <mergeCell ref="F121:G121"/>
    <mergeCell ref="H121:I121"/>
    <mergeCell ref="A122:O122"/>
    <mergeCell ref="B144:F144"/>
    <mergeCell ref="L144:N144"/>
    <mergeCell ref="B145:F145"/>
    <mergeCell ref="L145:N145"/>
    <mergeCell ref="A144:A153"/>
    <mergeCell ref="G144:K150"/>
    <mergeCell ref="L149:N149"/>
    <mergeCell ref="L150:N150"/>
    <mergeCell ref="G151:O153"/>
    <mergeCell ref="C119:E119"/>
  </mergeCells>
  <conditionalFormatting sqref="J39:J65">
    <cfRule type="expression" dxfId="2" priority="1">
      <formula>E39&lt;&gt;"Hourly"</formula>
    </cfRule>
  </conditionalFormatting>
  <dataValidations count="2">
    <dataValidation type="list" allowBlank="1" showInputMessage="1" showErrorMessage="1" sqref="F39:F65" xr:uid="{00000000-0002-0000-0900-000000000000}">
      <formula1>INDIRECT(E39)</formula1>
    </dataValidation>
    <dataValidation type="list" allowBlank="1" showInputMessage="1" showErrorMessage="1" sqref="E39:E65" xr:uid="{00000000-0002-0000-0900-000001000000}">
      <formula1>$B$12:$B$17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166"/>
  <sheetViews>
    <sheetView topLeftCell="A66" zoomScaleNormal="100" zoomScalePageLayoutView="85" workbookViewId="0">
      <selection activeCell="B83" sqref="B83:M83"/>
    </sheetView>
  </sheetViews>
  <sheetFormatPr defaultColWidth="8.7109375" defaultRowHeight="12.75" x14ac:dyDescent="0.2"/>
  <cols>
    <col min="1" max="2" width="4.28515625" style="1" customWidth="1"/>
    <col min="3" max="3" width="23.7109375" style="1" customWidth="1"/>
    <col min="4" max="4" width="9.7109375" style="1" customWidth="1"/>
    <col min="5" max="5" width="14.7109375" style="1" customWidth="1"/>
    <col min="6" max="6" width="18.7109375" style="1" customWidth="1"/>
    <col min="7" max="7" width="6.42578125" style="1" customWidth="1"/>
    <col min="8" max="8" width="9" style="1" customWidth="1"/>
    <col min="9" max="9" width="8.7109375" style="1" customWidth="1"/>
    <col min="10" max="10" width="11.7109375" style="2" customWidth="1"/>
    <col min="11" max="11" width="13" style="2" customWidth="1"/>
    <col min="12" max="13" width="12.7109375" style="1" customWidth="1"/>
    <col min="14" max="14" width="18" style="1" customWidth="1"/>
    <col min="15" max="15" width="17.28515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7109375" style="1"/>
  </cols>
  <sheetData>
    <row r="1" spans="1:18" s="3" customFormat="1" ht="22.15" customHeight="1" x14ac:dyDescent="0.2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126"/>
    </row>
    <row r="2" spans="1:18" s="3" customFormat="1" ht="35.25" customHeight="1" thickBot="1" x14ac:dyDescent="0.3">
      <c r="A2" s="512" t="s">
        <v>60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127"/>
    </row>
    <row r="3" spans="1:18" s="3" customFormat="1" ht="12" customHeight="1" x14ac:dyDescent="0.25">
      <c r="A3" s="514" t="s">
        <v>62</v>
      </c>
      <c r="B3" s="515"/>
      <c r="C3" s="515"/>
      <c r="D3" s="456">
        <f>'Per8'!D3</f>
        <v>0</v>
      </c>
      <c r="E3" s="456"/>
      <c r="F3" s="456"/>
      <c r="G3" s="24"/>
      <c r="H3" s="122"/>
      <c r="I3" s="122"/>
      <c r="J3" s="122"/>
      <c r="K3" s="460" t="s">
        <v>209</v>
      </c>
      <c r="L3" s="461"/>
      <c r="M3" s="516" t="s">
        <v>201</v>
      </c>
      <c r="N3" s="517"/>
      <c r="O3" s="518"/>
      <c r="P3" s="28"/>
      <c r="Q3" s="14" t="s">
        <v>66</v>
      </c>
    </row>
    <row r="4" spans="1:18" ht="18.600000000000001" customHeight="1" thickBot="1" x14ac:dyDescent="0.3">
      <c r="A4" s="483"/>
      <c r="B4" s="484"/>
      <c r="C4" s="484"/>
      <c r="D4" s="457"/>
      <c r="E4" s="457"/>
      <c r="F4" s="457"/>
      <c r="G4" s="119"/>
      <c r="H4" s="123"/>
      <c r="I4" s="123"/>
      <c r="J4" s="123"/>
      <c r="K4" s="462"/>
      <c r="L4" s="463"/>
      <c r="M4" s="519" t="s">
        <v>65</v>
      </c>
      <c r="N4" s="520"/>
      <c r="O4" s="521"/>
      <c r="P4" s="128"/>
      <c r="Q4" s="255" t="s">
        <v>71</v>
      </c>
    </row>
    <row r="5" spans="1:18" ht="18" customHeight="1" thickBot="1" x14ac:dyDescent="0.3">
      <c r="A5" s="483" t="s">
        <v>67</v>
      </c>
      <c r="B5" s="484"/>
      <c r="C5" s="484"/>
      <c r="D5" s="458">
        <f>'Per8'!D5</f>
        <v>0</v>
      </c>
      <c r="E5" s="458"/>
      <c r="F5" s="458"/>
      <c r="G5" s="52"/>
      <c r="H5" s="53"/>
      <c r="I5" s="53"/>
      <c r="J5" s="35"/>
      <c r="K5" s="459" t="s">
        <v>68</v>
      </c>
      <c r="L5" s="568">
        <f>'Per8'!L7+1</f>
        <v>48458</v>
      </c>
      <c r="M5" s="129"/>
      <c r="N5" s="130" t="s">
        <v>69</v>
      </c>
      <c r="O5" s="131" t="s">
        <v>70</v>
      </c>
      <c r="P5" s="132"/>
      <c r="Q5" s="14" t="s">
        <v>73</v>
      </c>
      <c r="R5" s="133"/>
    </row>
    <row r="6" spans="1:18" ht="12" customHeight="1" thickTop="1" x14ac:dyDescent="0.25">
      <c r="A6" s="483"/>
      <c r="B6" s="484"/>
      <c r="C6" s="484"/>
      <c r="D6" s="457"/>
      <c r="E6" s="457"/>
      <c r="F6" s="457"/>
      <c r="G6" s="119"/>
      <c r="H6" s="53"/>
      <c r="I6" s="53"/>
      <c r="J6" s="35"/>
      <c r="K6" s="459"/>
      <c r="L6" s="569"/>
      <c r="M6" s="134" t="s">
        <v>72</v>
      </c>
      <c r="N6" s="356">
        <v>1453.34</v>
      </c>
      <c r="O6" s="357">
        <v>726.68</v>
      </c>
      <c r="P6" s="135"/>
      <c r="Q6" s="1" t="s">
        <v>77</v>
      </c>
    </row>
    <row r="7" spans="1:18" ht="12" customHeight="1" x14ac:dyDescent="0.25">
      <c r="A7" s="483" t="s">
        <v>198</v>
      </c>
      <c r="B7" s="484"/>
      <c r="C7" s="484"/>
      <c r="D7" s="575">
        <f>'Per8'!D7</f>
        <v>0</v>
      </c>
      <c r="E7" s="575"/>
      <c r="F7" s="575"/>
      <c r="G7" s="55"/>
      <c r="H7" s="54"/>
      <c r="I7" s="54"/>
      <c r="J7" s="35"/>
      <c r="K7" s="459" t="s">
        <v>75</v>
      </c>
      <c r="L7" s="570">
        <f>EDATE(L5,12)-1</f>
        <v>48822</v>
      </c>
      <c r="M7" s="136" t="s">
        <v>76</v>
      </c>
      <c r="N7" s="358">
        <v>1041.9000000000001</v>
      </c>
      <c r="O7" s="359">
        <v>520.96</v>
      </c>
      <c r="P7" s="135"/>
    </row>
    <row r="8" spans="1:18" ht="12.75" customHeight="1" x14ac:dyDescent="0.25">
      <c r="A8" s="483"/>
      <c r="B8" s="484"/>
      <c r="C8" s="484"/>
      <c r="D8" s="498"/>
      <c r="E8" s="498"/>
      <c r="F8" s="498"/>
      <c r="G8" s="55"/>
      <c r="H8" s="54"/>
      <c r="I8" s="54"/>
      <c r="K8" s="459"/>
      <c r="L8" s="569"/>
      <c r="M8" s="136" t="s">
        <v>78</v>
      </c>
      <c r="N8" s="358">
        <v>1189.2</v>
      </c>
      <c r="O8" s="359">
        <v>594.6</v>
      </c>
      <c r="P8" s="135"/>
    </row>
    <row r="9" spans="1:18" ht="12.75" customHeight="1" x14ac:dyDescent="0.25">
      <c r="A9" s="483"/>
      <c r="B9" s="484"/>
      <c r="C9" s="484"/>
      <c r="D9" s="498"/>
      <c r="E9" s="498"/>
      <c r="F9" s="498"/>
      <c r="G9" s="55"/>
      <c r="H9" s="54"/>
      <c r="I9" s="54"/>
      <c r="K9" s="251"/>
      <c r="L9" s="252"/>
      <c r="M9" s="253" t="s">
        <v>79</v>
      </c>
      <c r="N9" s="360">
        <v>780.24</v>
      </c>
      <c r="O9" s="361">
        <v>390.12</v>
      </c>
      <c r="P9" s="135"/>
    </row>
    <row r="10" spans="1:18" ht="12" customHeight="1" thickBot="1" x14ac:dyDescent="0.3">
      <c r="A10" s="485"/>
      <c r="B10" s="486"/>
      <c r="C10" s="486"/>
      <c r="D10" s="499"/>
      <c r="E10" s="499"/>
      <c r="F10" s="499"/>
      <c r="G10" s="56"/>
      <c r="H10" s="25"/>
      <c r="I10" s="120"/>
      <c r="J10" s="120"/>
      <c r="K10" s="120"/>
      <c r="L10" s="26"/>
      <c r="M10" s="137" t="s">
        <v>80</v>
      </c>
      <c r="N10" s="362" t="s">
        <v>81</v>
      </c>
      <c r="O10" s="363">
        <v>746.09</v>
      </c>
      <c r="P10" s="135"/>
    </row>
    <row r="11" spans="1:18" ht="13.5" hidden="1" thickBot="1" x14ac:dyDescent="0.25">
      <c r="B11" s="210"/>
      <c r="C11" s="210"/>
      <c r="D11" s="210"/>
      <c r="E11" s="279" t="s">
        <v>82</v>
      </c>
      <c r="F11" s="305" t="s">
        <v>83</v>
      </c>
      <c r="G11" s="306" t="s">
        <v>84</v>
      </c>
      <c r="H11" s="307" t="s">
        <v>85</v>
      </c>
      <c r="I11" s="211" t="s">
        <v>86</v>
      </c>
      <c r="J11" s="308" t="s">
        <v>87</v>
      </c>
      <c r="K11" s="210"/>
      <c r="L11" s="210"/>
      <c r="M11" s="210"/>
      <c r="N11" s="211" t="s">
        <v>88</v>
      </c>
      <c r="O11" s="212">
        <v>0</v>
      </c>
      <c r="P11" s="138"/>
    </row>
    <row r="12" spans="1:18" hidden="1" x14ac:dyDescent="0.2">
      <c r="B12" s="279" t="s">
        <v>82</v>
      </c>
      <c r="C12" s="275">
        <f>1/900</f>
        <v>1.1111111111111111E-3</v>
      </c>
      <c r="D12" s="213"/>
      <c r="E12" s="287" t="s">
        <v>88</v>
      </c>
      <c r="F12" s="280" t="s">
        <v>88</v>
      </c>
      <c r="G12" s="297" t="s">
        <v>88</v>
      </c>
      <c r="H12" s="298" t="s">
        <v>88</v>
      </c>
      <c r="I12" s="210" t="s">
        <v>88</v>
      </c>
      <c r="J12" s="293" t="s">
        <v>88</v>
      </c>
      <c r="K12" s="279" t="str">
        <f>B12&amp;M6</f>
        <v>FT_BE_09Emp/Family</v>
      </c>
      <c r="L12" s="273">
        <f>N6</f>
        <v>1453.34</v>
      </c>
      <c r="M12" s="274">
        <v>0.18</v>
      </c>
      <c r="N12" s="275">
        <v>100</v>
      </c>
      <c r="O12" s="210"/>
    </row>
    <row r="13" spans="1:18" hidden="1" x14ac:dyDescent="0.2">
      <c r="B13" s="283" t="s">
        <v>83</v>
      </c>
      <c r="C13" s="282">
        <f>1/1200</f>
        <v>8.3333333333333339E-4</v>
      </c>
      <c r="D13" s="213"/>
      <c r="E13" s="309" t="s">
        <v>72</v>
      </c>
      <c r="F13" s="300" t="s">
        <v>72</v>
      </c>
      <c r="G13" s="301" t="s">
        <v>72</v>
      </c>
      <c r="H13" s="298" t="s">
        <v>89</v>
      </c>
      <c r="I13" s="210"/>
      <c r="J13" s="293" t="s">
        <v>89</v>
      </c>
      <c r="K13" s="287" t="str">
        <f>B12&amp;M7</f>
        <v>FT_BE_09Emp/Child</v>
      </c>
      <c r="L13" s="294">
        <f>N7</f>
        <v>1041.9000000000001</v>
      </c>
      <c r="M13" s="277">
        <v>0.18</v>
      </c>
      <c r="N13" s="278">
        <v>100</v>
      </c>
      <c r="O13" s="210"/>
    </row>
    <row r="14" spans="1:18" hidden="1" x14ac:dyDescent="0.2">
      <c r="B14" s="284" t="s">
        <v>84</v>
      </c>
      <c r="C14" s="286">
        <f>1/1200</f>
        <v>8.3333333333333339E-4</v>
      </c>
      <c r="D14" s="213"/>
      <c r="E14" s="309" t="s">
        <v>76</v>
      </c>
      <c r="F14" s="300" t="s">
        <v>76</v>
      </c>
      <c r="G14" s="301" t="s">
        <v>76</v>
      </c>
      <c r="H14" s="298"/>
      <c r="I14" s="210"/>
      <c r="J14" s="293"/>
      <c r="K14" s="287" t="str">
        <f>B12&amp;M8</f>
        <v>FT_BE_09Emp/Spouse</v>
      </c>
      <c r="L14" s="294">
        <f>N8</f>
        <v>1189.2</v>
      </c>
      <c r="M14" s="277">
        <v>0.18</v>
      </c>
      <c r="N14" s="278">
        <v>100</v>
      </c>
      <c r="O14" s="210"/>
    </row>
    <row r="15" spans="1:18" hidden="1" x14ac:dyDescent="0.2">
      <c r="B15" s="288" t="s">
        <v>85</v>
      </c>
      <c r="C15" s="290">
        <f>1/1200</f>
        <v>8.3333333333333339E-4</v>
      </c>
      <c r="D15" s="213"/>
      <c r="E15" s="309" t="s">
        <v>78</v>
      </c>
      <c r="F15" s="300" t="s">
        <v>78</v>
      </c>
      <c r="G15" s="301" t="s">
        <v>78</v>
      </c>
      <c r="H15" s="298"/>
      <c r="I15" s="210"/>
      <c r="J15" s="293"/>
      <c r="K15" s="287" t="str">
        <f>B12&amp;M9</f>
        <v>FT_BE_09Emp Only</v>
      </c>
      <c r="L15" s="294">
        <f>N9</f>
        <v>780.24</v>
      </c>
      <c r="M15" s="277">
        <v>0.18</v>
      </c>
      <c r="N15" s="278">
        <v>100</v>
      </c>
      <c r="O15" s="210"/>
    </row>
    <row r="16" spans="1:18" hidden="1" x14ac:dyDescent="0.2">
      <c r="B16" s="291" t="s">
        <v>87</v>
      </c>
      <c r="C16" s="293">
        <v>1</v>
      </c>
      <c r="D16" s="213"/>
      <c r="E16" s="310" t="s">
        <v>79</v>
      </c>
      <c r="F16" s="302" t="s">
        <v>79</v>
      </c>
      <c r="G16" s="303" t="s">
        <v>79</v>
      </c>
      <c r="H16" s="304"/>
      <c r="I16" s="29"/>
      <c r="J16" s="311"/>
      <c r="K16" s="283" t="str">
        <f>B13&amp;M6</f>
        <v>FT_BE_12Emp/Family</v>
      </c>
      <c r="L16" s="295">
        <f>N6</f>
        <v>1453.34</v>
      </c>
      <c r="M16" s="281">
        <v>0.18</v>
      </c>
      <c r="N16" s="282">
        <v>100</v>
      </c>
      <c r="O16" s="210"/>
    </row>
    <row r="17" spans="2:15" ht="13.5" hidden="1" thickBot="1" x14ac:dyDescent="0.25">
      <c r="B17" s="215" t="s">
        <v>86</v>
      </c>
      <c r="C17" s="216">
        <v>0</v>
      </c>
      <c r="D17" s="213"/>
      <c r="E17" s="287" t="s">
        <v>89</v>
      </c>
      <c r="F17" s="300" t="s">
        <v>89</v>
      </c>
      <c r="G17" s="301" t="s">
        <v>80</v>
      </c>
      <c r="H17" s="298"/>
      <c r="I17" s="210"/>
      <c r="J17" s="293"/>
      <c r="K17" s="283" t="str">
        <f>B13&amp;M7</f>
        <v>FT_BE_12Emp/Child</v>
      </c>
      <c r="L17" s="295">
        <f t="shared" ref="L17:L19" si="0">N7</f>
        <v>1041.9000000000001</v>
      </c>
      <c r="M17" s="281">
        <v>0.18</v>
      </c>
      <c r="N17" s="282">
        <v>100</v>
      </c>
      <c r="O17" s="210"/>
    </row>
    <row r="18" spans="2:15" ht="13.5" hidden="1" thickBot="1" x14ac:dyDescent="0.25">
      <c r="B18" s="210"/>
      <c r="C18" s="210"/>
      <c r="D18" s="210"/>
      <c r="E18" s="312"/>
      <c r="F18" s="313"/>
      <c r="G18" s="314" t="s">
        <v>89</v>
      </c>
      <c r="H18" s="315"/>
      <c r="I18" s="217"/>
      <c r="J18" s="316"/>
      <c r="K18" s="283" t="str">
        <f>B13&amp;M8</f>
        <v>FT_BE_12Emp/Spouse</v>
      </c>
      <c r="L18" s="295">
        <f t="shared" si="0"/>
        <v>1189.2</v>
      </c>
      <c r="M18" s="281">
        <v>0.18</v>
      </c>
      <c r="N18" s="282">
        <v>100</v>
      </c>
      <c r="O18" s="210"/>
    </row>
    <row r="19" spans="2:15" hidden="1" x14ac:dyDescent="0.2">
      <c r="B19" s="210"/>
      <c r="C19" s="210"/>
      <c r="D19" s="210"/>
      <c r="E19" s="210"/>
      <c r="F19" s="210"/>
      <c r="G19" s="210"/>
      <c r="H19" s="210"/>
      <c r="I19" s="210"/>
      <c r="J19" s="210"/>
      <c r="K19" s="283" t="str">
        <f>B13&amp;M9</f>
        <v>FT_BE_12Emp Only</v>
      </c>
      <c r="L19" s="295">
        <f t="shared" si="0"/>
        <v>780.24</v>
      </c>
      <c r="M19" s="281">
        <v>0.18</v>
      </c>
      <c r="N19" s="282">
        <v>100</v>
      </c>
      <c r="O19" s="210"/>
    </row>
    <row r="20" spans="2:15" hidden="1" x14ac:dyDescent="0.2">
      <c r="B20" s="210"/>
      <c r="C20" s="210"/>
      <c r="D20" s="210"/>
      <c r="E20" s="210"/>
      <c r="F20" s="210"/>
      <c r="G20" s="210"/>
      <c r="H20" s="210"/>
      <c r="I20" s="210"/>
      <c r="J20" s="210"/>
      <c r="K20" s="283" t="str">
        <f>B13&amp;F17</f>
        <v>FT_BE_12None</v>
      </c>
      <c r="L20" s="295">
        <v>0</v>
      </c>
      <c r="M20" s="281">
        <v>0.18</v>
      </c>
      <c r="N20" s="282">
        <v>0</v>
      </c>
      <c r="O20" s="210"/>
    </row>
    <row r="21" spans="2:15" hidden="1" x14ac:dyDescent="0.2">
      <c r="B21" s="210"/>
      <c r="C21" s="210"/>
      <c r="D21" s="210"/>
      <c r="E21" s="210"/>
      <c r="F21" s="210"/>
      <c r="G21" s="210"/>
      <c r="H21" s="210"/>
      <c r="I21" s="210"/>
      <c r="J21" s="210"/>
      <c r="K21" s="284" t="str">
        <f>B14&amp;M6</f>
        <v>PT_BE_12Emp/Family</v>
      </c>
      <c r="L21" s="296">
        <f>N6</f>
        <v>1453.34</v>
      </c>
      <c r="M21" s="285">
        <v>0.18</v>
      </c>
      <c r="N21" s="286">
        <v>50</v>
      </c>
      <c r="O21" s="210"/>
    </row>
    <row r="22" spans="2:15" hidden="1" x14ac:dyDescent="0.2">
      <c r="B22" s="210"/>
      <c r="C22" s="210"/>
      <c r="D22" s="210"/>
      <c r="E22" s="210"/>
      <c r="F22" s="210"/>
      <c r="G22" s="210"/>
      <c r="H22" s="210"/>
      <c r="I22" s="210"/>
      <c r="J22" s="210"/>
      <c r="K22" s="284" t="str">
        <f>B14&amp;M7</f>
        <v>PT_BE_12Emp/Child</v>
      </c>
      <c r="L22" s="296">
        <f t="shared" ref="L22:L24" si="1">N7</f>
        <v>1041.9000000000001</v>
      </c>
      <c r="M22" s="285">
        <v>0.18</v>
      </c>
      <c r="N22" s="286">
        <v>50</v>
      </c>
      <c r="O22" s="210"/>
    </row>
    <row r="23" spans="2:15" hidden="1" x14ac:dyDescent="0.2">
      <c r="B23" s="210"/>
      <c r="C23" s="210"/>
      <c r="D23" s="210"/>
      <c r="E23" s="210"/>
      <c r="F23" s="210"/>
      <c r="G23" s="210"/>
      <c r="H23" s="210"/>
      <c r="I23" s="210"/>
      <c r="J23" s="210"/>
      <c r="K23" s="284" t="str">
        <f>B14&amp;M8</f>
        <v>PT_BE_12Emp/Spouse</v>
      </c>
      <c r="L23" s="296">
        <f t="shared" si="1"/>
        <v>1189.2</v>
      </c>
      <c r="M23" s="285">
        <v>0.18</v>
      </c>
      <c r="N23" s="286">
        <v>50</v>
      </c>
      <c r="O23" s="210"/>
    </row>
    <row r="24" spans="2:15" hidden="1" x14ac:dyDescent="0.2">
      <c r="B24" s="210"/>
      <c r="C24" s="210"/>
      <c r="D24" s="210"/>
      <c r="E24" s="210"/>
      <c r="F24" s="210"/>
      <c r="G24" s="210"/>
      <c r="H24" s="210"/>
      <c r="I24" s="210"/>
      <c r="J24" s="210"/>
      <c r="K24" s="284" t="str">
        <f>B14&amp;M9</f>
        <v>PT_BE_12Emp Only</v>
      </c>
      <c r="L24" s="296">
        <f t="shared" si="1"/>
        <v>780.24</v>
      </c>
      <c r="M24" s="285">
        <v>0.18</v>
      </c>
      <c r="N24" s="286">
        <v>50</v>
      </c>
      <c r="O24" s="210"/>
    </row>
    <row r="25" spans="2:15" hidden="1" x14ac:dyDescent="0.2">
      <c r="B25" s="210"/>
      <c r="C25" s="210"/>
      <c r="D25" s="210"/>
      <c r="E25" s="210"/>
      <c r="F25" s="210"/>
      <c r="G25" s="210"/>
      <c r="H25" s="210"/>
      <c r="I25" s="210"/>
      <c r="J25" s="210"/>
      <c r="K25" s="284" t="str">
        <f>B14&amp;G17</f>
        <v>PT_BE_12Grad Res Asst</v>
      </c>
      <c r="L25" s="296">
        <f>O10</f>
        <v>746.09</v>
      </c>
      <c r="M25" s="285">
        <v>0.08</v>
      </c>
      <c r="N25" s="286">
        <v>100</v>
      </c>
      <c r="O25" s="210"/>
    </row>
    <row r="26" spans="2:15" hidden="1" x14ac:dyDescent="0.2">
      <c r="B26" s="210"/>
      <c r="C26" s="210"/>
      <c r="D26" s="210"/>
      <c r="E26" s="210"/>
      <c r="F26" s="210"/>
      <c r="G26" s="210"/>
      <c r="H26" s="210"/>
      <c r="I26" s="210"/>
      <c r="J26" s="210"/>
      <c r="K26" s="284" t="str">
        <f>B14&amp;G18</f>
        <v>PT_BE_12None</v>
      </c>
      <c r="L26" s="296">
        <v>0</v>
      </c>
      <c r="M26" s="285">
        <v>0.08</v>
      </c>
      <c r="N26" s="286">
        <v>0</v>
      </c>
      <c r="O26" s="210"/>
    </row>
    <row r="27" spans="2:15" hidden="1" x14ac:dyDescent="0.2">
      <c r="B27" s="210"/>
      <c r="C27" s="210"/>
      <c r="D27" s="210"/>
      <c r="E27" s="210"/>
      <c r="F27" s="210"/>
      <c r="G27" s="210"/>
      <c r="H27" s="210"/>
      <c r="I27" s="210"/>
      <c r="J27" s="210"/>
      <c r="K27" s="284" t="str">
        <f>B14&amp;G12</f>
        <v>PT_BE_12Select One</v>
      </c>
      <c r="L27" s="297">
        <v>0</v>
      </c>
      <c r="M27" s="285">
        <v>0</v>
      </c>
      <c r="N27" s="286">
        <v>0</v>
      </c>
      <c r="O27" s="210"/>
    </row>
    <row r="28" spans="2:15" hidden="1" x14ac:dyDescent="0.2">
      <c r="B28" s="210"/>
      <c r="C28" s="210"/>
      <c r="D28" s="210"/>
      <c r="E28" s="210"/>
      <c r="F28" s="210"/>
      <c r="G28" s="210"/>
      <c r="H28" s="210"/>
      <c r="I28" s="210"/>
      <c r="J28" s="210"/>
      <c r="K28" s="288" t="str">
        <f>B15&amp;H13</f>
        <v>PT_NB_12None</v>
      </c>
      <c r="L28" s="298">
        <v>0</v>
      </c>
      <c r="M28" s="289">
        <v>0.08</v>
      </c>
      <c r="N28" s="290">
        <v>0</v>
      </c>
      <c r="O28" s="210"/>
    </row>
    <row r="29" spans="2:15" hidden="1" x14ac:dyDescent="0.2">
      <c r="B29" s="210"/>
      <c r="C29" s="210"/>
      <c r="D29" s="210"/>
      <c r="E29" s="210"/>
      <c r="F29" s="210"/>
      <c r="G29" s="210"/>
      <c r="H29" s="210"/>
      <c r="I29" s="210"/>
      <c r="J29" s="210"/>
      <c r="K29" s="291" t="str">
        <f>B16&amp;J13</f>
        <v>HourlyNone</v>
      </c>
      <c r="L29" s="299">
        <v>0</v>
      </c>
      <c r="M29" s="292">
        <v>0.08</v>
      </c>
      <c r="N29" s="293">
        <v>0</v>
      </c>
      <c r="O29" s="210"/>
    </row>
    <row r="30" spans="2:15" hidden="1" x14ac:dyDescent="0.2">
      <c r="B30" s="210"/>
      <c r="C30" s="210"/>
      <c r="D30" s="210"/>
      <c r="E30" s="210"/>
      <c r="F30" s="210"/>
      <c r="G30" s="210"/>
      <c r="H30" s="210"/>
      <c r="I30" s="210"/>
      <c r="J30" s="210"/>
      <c r="K30" s="287" t="str">
        <f>B12&amp;E12</f>
        <v>FT_BE_09Select One</v>
      </c>
      <c r="L30" s="276">
        <v>0</v>
      </c>
      <c r="M30" s="277">
        <v>0</v>
      </c>
      <c r="N30" s="278">
        <v>0</v>
      </c>
      <c r="O30" s="210"/>
    </row>
    <row r="31" spans="2:15" hidden="1" x14ac:dyDescent="0.2">
      <c r="B31" s="210"/>
      <c r="C31" s="210"/>
      <c r="D31" s="210"/>
      <c r="E31" s="210"/>
      <c r="F31" s="210"/>
      <c r="G31" s="210"/>
      <c r="H31" s="210"/>
      <c r="I31" s="210"/>
      <c r="J31" s="210"/>
      <c r="K31" s="283" t="str">
        <f>B13&amp;F12</f>
        <v>FT_BE_12Select One</v>
      </c>
      <c r="L31" s="280">
        <v>0</v>
      </c>
      <c r="M31" s="281">
        <v>0</v>
      </c>
      <c r="N31" s="282">
        <v>0</v>
      </c>
      <c r="O31" s="210"/>
    </row>
    <row r="32" spans="2:15" hidden="1" x14ac:dyDescent="0.2">
      <c r="B32" s="210"/>
      <c r="C32" s="210"/>
      <c r="D32" s="210"/>
      <c r="E32" s="210"/>
      <c r="F32" s="210"/>
      <c r="G32" s="210"/>
      <c r="H32" s="210"/>
      <c r="I32" s="210"/>
      <c r="J32" s="210"/>
      <c r="K32" s="287" t="str">
        <f>B12&amp;E17</f>
        <v>FT_BE_09None</v>
      </c>
      <c r="L32" s="276">
        <v>0</v>
      </c>
      <c r="M32" s="277">
        <v>0.18</v>
      </c>
      <c r="N32" s="278">
        <v>0</v>
      </c>
      <c r="O32" s="210"/>
    </row>
    <row r="33" spans="1:19" hidden="1" x14ac:dyDescent="0.2">
      <c r="B33" s="210"/>
      <c r="C33" s="210"/>
      <c r="D33" s="210"/>
      <c r="E33" s="210"/>
      <c r="F33" s="210"/>
      <c r="G33" s="210"/>
      <c r="H33" s="210"/>
      <c r="I33" s="210"/>
      <c r="J33" s="210"/>
      <c r="K33" s="288" t="str">
        <f>B15&amp;H12</f>
        <v>PT_NB_12Select One</v>
      </c>
      <c r="L33" s="298">
        <v>0</v>
      </c>
      <c r="M33" s="289">
        <v>0</v>
      </c>
      <c r="N33" s="290">
        <v>0</v>
      </c>
      <c r="O33" s="210"/>
    </row>
    <row r="34" spans="1:19" hidden="1" x14ac:dyDescent="0.2">
      <c r="B34" s="210"/>
      <c r="C34" s="210"/>
      <c r="D34" s="210"/>
      <c r="E34" s="210"/>
      <c r="F34" s="210"/>
      <c r="G34" s="210"/>
      <c r="H34" s="210"/>
      <c r="I34" s="210"/>
      <c r="J34" s="210"/>
      <c r="K34" s="291" t="str">
        <f>B16&amp;J12</f>
        <v>HourlySelect One</v>
      </c>
      <c r="L34" s="299">
        <v>0</v>
      </c>
      <c r="M34" s="292">
        <v>0</v>
      </c>
      <c r="N34" s="293">
        <v>0</v>
      </c>
      <c r="O34" s="210"/>
    </row>
    <row r="35" spans="1:19" ht="13.5" hidden="1" thickBot="1" x14ac:dyDescent="0.25">
      <c r="B35" s="210"/>
      <c r="C35" s="210"/>
      <c r="D35" s="210"/>
      <c r="E35" s="210"/>
      <c r="F35" s="210"/>
      <c r="G35" s="210"/>
      <c r="H35" s="210"/>
      <c r="I35" s="210"/>
      <c r="J35" s="210"/>
      <c r="K35" s="215" t="str">
        <f>B17&amp;I12</f>
        <v>SelectSelect One</v>
      </c>
      <c r="L35" s="217"/>
      <c r="M35" s="317"/>
      <c r="N35" s="216"/>
      <c r="O35" s="210"/>
    </row>
    <row r="36" spans="1:19" ht="18" customHeight="1" thickBot="1" x14ac:dyDescent="0.25">
      <c r="A36" s="490"/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</row>
    <row r="37" spans="1:19" ht="13.5" customHeight="1" x14ac:dyDescent="0.2">
      <c r="A37" s="414" t="s">
        <v>90</v>
      </c>
      <c r="B37" s="494" t="s">
        <v>91</v>
      </c>
      <c r="C37" s="495"/>
      <c r="D37" s="495"/>
      <c r="E37" s="495"/>
      <c r="F37" s="495"/>
      <c r="G37" s="495"/>
      <c r="H37" s="495"/>
      <c r="I37" s="495"/>
      <c r="J37" s="495"/>
      <c r="K37" s="496" t="s">
        <v>92</v>
      </c>
      <c r="L37" s="497"/>
      <c r="M37" s="234">
        <f>SUM(M39:M65)</f>
        <v>0</v>
      </c>
      <c r="N37" s="234">
        <f>SUM(N39:N65)</f>
        <v>0</v>
      </c>
      <c r="O37" s="235">
        <f>SUM(O39:O65)</f>
        <v>0</v>
      </c>
    </row>
    <row r="38" spans="1:19" ht="49.9" customHeight="1" x14ac:dyDescent="0.2">
      <c r="A38" s="415"/>
      <c r="B38" s="491" t="s">
        <v>93</v>
      </c>
      <c r="C38" s="491"/>
      <c r="D38" s="34" t="s">
        <v>94</v>
      </c>
      <c r="E38" s="34" t="s">
        <v>95</v>
      </c>
      <c r="F38" s="140" t="s">
        <v>96</v>
      </c>
      <c r="G38" s="492" t="s">
        <v>97</v>
      </c>
      <c r="H38" s="493"/>
      <c r="I38" s="34" t="s">
        <v>98</v>
      </c>
      <c r="J38" s="34" t="s">
        <v>99</v>
      </c>
      <c r="K38" s="34" t="s">
        <v>100</v>
      </c>
      <c r="L38" s="34" t="s">
        <v>101</v>
      </c>
      <c r="M38" s="34" t="s">
        <v>205</v>
      </c>
      <c r="N38" s="34" t="s">
        <v>206</v>
      </c>
      <c r="O38" s="141" t="s">
        <v>104</v>
      </c>
      <c r="P38" s="142"/>
      <c r="S38" s="5"/>
    </row>
    <row r="39" spans="1:19" ht="13.5" customHeight="1" x14ac:dyDescent="0.2">
      <c r="A39" s="415"/>
      <c r="B39" s="383" t="str">
        <f>IF('Per8'!B39&lt;&gt;"",'Per8'!B39,"")</f>
        <v/>
      </c>
      <c r="C39" s="383"/>
      <c r="D39" s="60" t="str">
        <f>IF('Per8'!D39&lt;&gt;"",'Per8'!D39,"")</f>
        <v/>
      </c>
      <c r="E39" s="143" t="str">
        <f>'Per1'!E39</f>
        <v>Select</v>
      </c>
      <c r="F39" s="144" t="str">
        <f>'Per1'!F39</f>
        <v>Select One</v>
      </c>
      <c r="G39" s="481">
        <f>IF(E39="Hourly",ROUND('Per8'!G39*1.03,2),ROUND('Per8'!G39*1.03,0))</f>
        <v>0</v>
      </c>
      <c r="H39" s="482"/>
      <c r="I39" s="6"/>
      <c r="J39" s="27"/>
      <c r="K39" s="209">
        <f>IF(E39="Hourly",I39*J39/173.33,I39*J39/100)</f>
        <v>0</v>
      </c>
      <c r="L39" s="7" t="str">
        <f t="shared" ref="L39:L65" si="2">IF(M39&lt;&gt;0,SUM(N39/M39),"-")</f>
        <v>-</v>
      </c>
      <c r="M39" s="19">
        <f t="shared" ref="M39:M65" si="3">ROUND((G39*I39*J39*VLOOKUP(E39,$B$12:$C$17,2,FALSE)),0)</f>
        <v>0</v>
      </c>
      <c r="N39" s="19">
        <f t="shared" ref="N39:N65" si="4">ROUND(M39*VLOOKUP(E39&amp;F39,$K$12:$N$35,3,FALSE)+VLOOKUP(E39&amp;F39,$K$12:$N$35,2,FALSE)*MIN(J39,VLOOKUP(E39&amp;F39,$K$12:$N$35,4,FALSE))*I39/100,0)</f>
        <v>0</v>
      </c>
      <c r="O39" s="20">
        <f t="shared" ref="O39:O65" si="5">M39+N39</f>
        <v>0</v>
      </c>
      <c r="P39" s="145"/>
      <c r="Q39" s="14" t="s">
        <v>105</v>
      </c>
      <c r="S39" s="133"/>
    </row>
    <row r="40" spans="1:19" ht="13.5" customHeight="1" x14ac:dyDescent="0.2">
      <c r="A40" s="415"/>
      <c r="B40" s="383" t="str">
        <f>IF('Per8'!B40&lt;&gt;"",'Per8'!B40,"")</f>
        <v/>
      </c>
      <c r="C40" s="383"/>
      <c r="D40" s="60" t="str">
        <f>IF('Per8'!D40&lt;&gt;"",'Per8'!D40,"")</f>
        <v/>
      </c>
      <c r="E40" s="143" t="str">
        <f>'Per1'!E40</f>
        <v>Select</v>
      </c>
      <c r="F40" s="144" t="str">
        <f>'Per1'!F40</f>
        <v>Select One</v>
      </c>
      <c r="G40" s="481">
        <f>IF(E40="Hourly",ROUND('Per8'!G40*1.03,2),ROUND('Per8'!G40*1.03,0))</f>
        <v>0</v>
      </c>
      <c r="H40" s="482"/>
      <c r="I40" s="6"/>
      <c r="J40" s="27"/>
      <c r="K40" s="209">
        <f t="shared" ref="K40:K65" si="6">IF(E40="Hourly",I40*J40/173.33,I40*J40/100)</f>
        <v>0</v>
      </c>
      <c r="L40" s="7" t="str">
        <f t="shared" si="2"/>
        <v>-</v>
      </c>
      <c r="M40" s="19">
        <f t="shared" si="3"/>
        <v>0</v>
      </c>
      <c r="N40" s="19">
        <f t="shared" si="4"/>
        <v>0</v>
      </c>
      <c r="O40" s="8">
        <f t="shared" si="5"/>
        <v>0</v>
      </c>
      <c r="P40" s="30"/>
      <c r="Q40" s="14" t="s">
        <v>106</v>
      </c>
      <c r="S40" s="133"/>
    </row>
    <row r="41" spans="1:19" ht="13.5" customHeight="1" x14ac:dyDescent="0.2">
      <c r="A41" s="415"/>
      <c r="B41" s="383" t="str">
        <f>IF('Per8'!B41&lt;&gt;"",'Per8'!B41,"")</f>
        <v/>
      </c>
      <c r="C41" s="383"/>
      <c r="D41" s="60" t="str">
        <f>IF('Per8'!D41&lt;&gt;"",'Per8'!D41,"")</f>
        <v/>
      </c>
      <c r="E41" s="143" t="str">
        <f>'Per1'!E41</f>
        <v>Select</v>
      </c>
      <c r="F41" s="144" t="str">
        <f>'Per1'!F41</f>
        <v>Select One</v>
      </c>
      <c r="G41" s="481">
        <f>IF(E41="Hourly",ROUND('Per8'!G41*1.03,2),ROUND('Per8'!G41*1.03,0))</f>
        <v>0</v>
      </c>
      <c r="H41" s="482"/>
      <c r="I41" s="6"/>
      <c r="J41" s="27"/>
      <c r="K41" s="209">
        <f t="shared" si="6"/>
        <v>0</v>
      </c>
      <c r="L41" s="7" t="str">
        <f t="shared" si="2"/>
        <v>-</v>
      </c>
      <c r="M41" s="19">
        <f t="shared" si="3"/>
        <v>0</v>
      </c>
      <c r="N41" s="19">
        <f t="shared" si="4"/>
        <v>0</v>
      </c>
      <c r="O41" s="8">
        <f t="shared" si="5"/>
        <v>0</v>
      </c>
      <c r="P41" s="30"/>
      <c r="Q41" s="14" t="s">
        <v>107</v>
      </c>
      <c r="S41" s="133"/>
    </row>
    <row r="42" spans="1:19" ht="13.5" customHeight="1" x14ac:dyDescent="0.2">
      <c r="A42" s="415"/>
      <c r="B42" s="383" t="str">
        <f>IF('Per8'!B42&lt;&gt;"",'Per8'!B42,"")</f>
        <v/>
      </c>
      <c r="C42" s="383"/>
      <c r="D42" s="60" t="str">
        <f>IF('Per8'!D42&lt;&gt;"",'Per8'!D42,"")</f>
        <v/>
      </c>
      <c r="E42" s="143" t="str">
        <f>'Per1'!E42</f>
        <v>Select</v>
      </c>
      <c r="F42" s="144" t="str">
        <f>'Per1'!F42</f>
        <v>Select One</v>
      </c>
      <c r="G42" s="481">
        <f>IF(E42="Hourly",ROUND('Per8'!G42*1.03,2),ROUND('Per8'!G42*1.03,0))</f>
        <v>0</v>
      </c>
      <c r="H42" s="482"/>
      <c r="I42" s="6"/>
      <c r="J42" s="27"/>
      <c r="K42" s="209">
        <f t="shared" si="6"/>
        <v>0</v>
      </c>
      <c r="L42" s="7" t="str">
        <f t="shared" si="2"/>
        <v>-</v>
      </c>
      <c r="M42" s="19">
        <f t="shared" si="3"/>
        <v>0</v>
      </c>
      <c r="N42" s="19">
        <f t="shared" si="4"/>
        <v>0</v>
      </c>
      <c r="O42" s="8">
        <f t="shared" si="5"/>
        <v>0</v>
      </c>
      <c r="P42" s="30"/>
      <c r="Q42" s="14" t="s">
        <v>108</v>
      </c>
      <c r="S42" s="133"/>
    </row>
    <row r="43" spans="1:19" ht="13.5" customHeight="1" x14ac:dyDescent="0.2">
      <c r="A43" s="415"/>
      <c r="B43" s="383" t="str">
        <f>IF('Per8'!B43&lt;&gt;"",'Per8'!B43,"")</f>
        <v/>
      </c>
      <c r="C43" s="383"/>
      <c r="D43" s="60" t="str">
        <f>IF('Per8'!D43&lt;&gt;"",'Per8'!D43,"")</f>
        <v/>
      </c>
      <c r="E43" s="143" t="str">
        <f>'Per1'!E43</f>
        <v>Select</v>
      </c>
      <c r="F43" s="144" t="str">
        <f>'Per1'!F43</f>
        <v>Select One</v>
      </c>
      <c r="G43" s="481">
        <f>IF(E43="Hourly",ROUND('Per8'!G43*1.03,2),ROUND('Per8'!G43*1.03,0))</f>
        <v>0</v>
      </c>
      <c r="H43" s="482"/>
      <c r="I43" s="6"/>
      <c r="J43" s="27"/>
      <c r="K43" s="209">
        <f t="shared" si="6"/>
        <v>0</v>
      </c>
      <c r="L43" s="7" t="str">
        <f t="shared" si="2"/>
        <v>-</v>
      </c>
      <c r="M43" s="19">
        <f t="shared" si="3"/>
        <v>0</v>
      </c>
      <c r="N43" s="19">
        <f t="shared" si="4"/>
        <v>0</v>
      </c>
      <c r="O43" s="8">
        <f t="shared" si="5"/>
        <v>0</v>
      </c>
      <c r="P43" s="30"/>
      <c r="Q43" s="14" t="s">
        <v>109</v>
      </c>
      <c r="S43" s="133"/>
    </row>
    <row r="44" spans="1:19" ht="13.5" customHeight="1" x14ac:dyDescent="0.2">
      <c r="A44" s="415"/>
      <c r="B44" s="383" t="str">
        <f>IF('Per8'!B44&lt;&gt;"",'Per8'!B44,"")</f>
        <v/>
      </c>
      <c r="C44" s="383"/>
      <c r="D44" s="60" t="str">
        <f>IF('Per8'!D44&lt;&gt;"",'Per8'!D44,"")</f>
        <v/>
      </c>
      <c r="E44" s="143" t="str">
        <f>'Per1'!E44</f>
        <v>Select</v>
      </c>
      <c r="F44" s="144" t="str">
        <f>'Per1'!F44</f>
        <v>Select One</v>
      </c>
      <c r="G44" s="481">
        <f>IF(E44="Hourly",ROUND('Per8'!G44*1.03,2),ROUND('Per8'!G44*1.03,0))</f>
        <v>0</v>
      </c>
      <c r="H44" s="482"/>
      <c r="I44" s="6"/>
      <c r="J44" s="27"/>
      <c r="K44" s="209">
        <f t="shared" si="6"/>
        <v>0</v>
      </c>
      <c r="L44" s="7" t="str">
        <f t="shared" si="2"/>
        <v>-</v>
      </c>
      <c r="M44" s="19">
        <f t="shared" si="3"/>
        <v>0</v>
      </c>
      <c r="N44" s="19">
        <f t="shared" si="4"/>
        <v>0</v>
      </c>
      <c r="O44" s="8">
        <f t="shared" si="5"/>
        <v>0</v>
      </c>
      <c r="P44" s="30"/>
      <c r="Q44" s="14" t="s">
        <v>110</v>
      </c>
      <c r="S44" s="146"/>
    </row>
    <row r="45" spans="1:19" ht="13.5" customHeight="1" x14ac:dyDescent="0.2">
      <c r="A45" s="415"/>
      <c r="B45" s="383" t="str">
        <f>IF('Per8'!B45&lt;&gt;"",'Per8'!B45,"")</f>
        <v/>
      </c>
      <c r="C45" s="383"/>
      <c r="D45" s="60" t="str">
        <f>IF('Per8'!D45&lt;&gt;"",'Per8'!D45,"")</f>
        <v/>
      </c>
      <c r="E45" s="143" t="str">
        <f>'Per1'!E45</f>
        <v>Select</v>
      </c>
      <c r="F45" s="144" t="str">
        <f>'Per1'!F45</f>
        <v>Select One</v>
      </c>
      <c r="G45" s="481">
        <f>IF(E45="Hourly",ROUND('Per8'!G45*1.03,2),ROUND('Per8'!G45*1.03,0))</f>
        <v>0</v>
      </c>
      <c r="H45" s="482"/>
      <c r="I45" s="6"/>
      <c r="J45" s="27"/>
      <c r="K45" s="209">
        <f t="shared" si="6"/>
        <v>0</v>
      </c>
      <c r="L45" s="7" t="str">
        <f t="shared" si="2"/>
        <v>-</v>
      </c>
      <c r="M45" s="19">
        <f t="shared" si="3"/>
        <v>0</v>
      </c>
      <c r="N45" s="19">
        <f t="shared" si="4"/>
        <v>0</v>
      </c>
      <c r="O45" s="8">
        <f t="shared" si="5"/>
        <v>0</v>
      </c>
      <c r="P45" s="30"/>
      <c r="Q45" s="14"/>
      <c r="S45" s="146"/>
    </row>
    <row r="46" spans="1:19" ht="13.5" customHeight="1" x14ac:dyDescent="0.2">
      <c r="A46" s="415"/>
      <c r="B46" s="383" t="str">
        <f>IF('Per8'!B46&lt;&gt;"",'Per8'!B46,"")</f>
        <v/>
      </c>
      <c r="C46" s="383"/>
      <c r="D46" s="60" t="str">
        <f>IF('Per8'!D46&lt;&gt;"",'Per8'!D46,"")</f>
        <v/>
      </c>
      <c r="E46" s="143" t="str">
        <f>'Per1'!E46</f>
        <v>Select</v>
      </c>
      <c r="F46" s="144" t="str">
        <f>'Per1'!F46</f>
        <v>Select One</v>
      </c>
      <c r="G46" s="481">
        <f>IF(E46="Hourly",ROUND('Per8'!G46*1.03,2),ROUND('Per8'!G46*1.03,0))</f>
        <v>0</v>
      </c>
      <c r="H46" s="482"/>
      <c r="I46" s="6"/>
      <c r="J46" s="27"/>
      <c r="K46" s="209">
        <f t="shared" si="6"/>
        <v>0</v>
      </c>
      <c r="L46" s="7" t="str">
        <f t="shared" si="2"/>
        <v>-</v>
      </c>
      <c r="M46" s="19">
        <f t="shared" si="3"/>
        <v>0</v>
      </c>
      <c r="N46" s="19">
        <f t="shared" si="4"/>
        <v>0</v>
      </c>
      <c r="O46" s="8">
        <f t="shared" si="5"/>
        <v>0</v>
      </c>
      <c r="P46" s="30"/>
      <c r="Q46" s="14"/>
      <c r="S46" s="146"/>
    </row>
    <row r="47" spans="1:19" ht="13.5" customHeight="1" x14ac:dyDescent="0.2">
      <c r="A47" s="415"/>
      <c r="B47" s="383" t="str">
        <f>IF('Per8'!B47&lt;&gt;"",'Per8'!B47,"")</f>
        <v/>
      </c>
      <c r="C47" s="383"/>
      <c r="D47" s="60" t="str">
        <f>IF('Per8'!D47&lt;&gt;"",'Per8'!D47,"")</f>
        <v/>
      </c>
      <c r="E47" s="143" t="str">
        <f>'Per1'!E47</f>
        <v>Select</v>
      </c>
      <c r="F47" s="144" t="str">
        <f>'Per1'!F47</f>
        <v>Select One</v>
      </c>
      <c r="G47" s="481">
        <f>IF(E47="Hourly",ROUND('Per8'!G47*1.03,2),ROUND('Per8'!G47*1.03,0))</f>
        <v>0</v>
      </c>
      <c r="H47" s="482"/>
      <c r="I47" s="6"/>
      <c r="J47" s="27"/>
      <c r="K47" s="209">
        <f t="shared" si="6"/>
        <v>0</v>
      </c>
      <c r="L47" s="7" t="str">
        <f t="shared" si="2"/>
        <v>-</v>
      </c>
      <c r="M47" s="19">
        <f t="shared" si="3"/>
        <v>0</v>
      </c>
      <c r="N47" s="19">
        <f t="shared" si="4"/>
        <v>0</v>
      </c>
      <c r="O47" s="8">
        <f t="shared" si="5"/>
        <v>0</v>
      </c>
      <c r="P47" s="30"/>
      <c r="Q47" s="14"/>
      <c r="S47" s="146"/>
    </row>
    <row r="48" spans="1:19" ht="13.5" customHeight="1" thickBot="1" x14ac:dyDescent="0.25">
      <c r="A48" s="415"/>
      <c r="B48" s="383" t="str">
        <f>IF('Per8'!B48&lt;&gt;"",'Per8'!B48,"")</f>
        <v/>
      </c>
      <c r="C48" s="383"/>
      <c r="D48" s="60" t="str">
        <f>IF('Per8'!D48&lt;&gt;"",'Per8'!D48,"")</f>
        <v/>
      </c>
      <c r="E48" s="143" t="str">
        <f>'Per1'!E48</f>
        <v>Select</v>
      </c>
      <c r="F48" s="144" t="str">
        <f>'Per1'!F48</f>
        <v>Select One</v>
      </c>
      <c r="G48" s="481">
        <f>IF(E48="Hourly",ROUND('Per8'!G48*1.03,2),ROUND('Per8'!G48*1.03,0))</f>
        <v>0</v>
      </c>
      <c r="H48" s="482"/>
      <c r="I48" s="6"/>
      <c r="J48" s="27"/>
      <c r="K48" s="209">
        <f t="shared" si="6"/>
        <v>0</v>
      </c>
      <c r="L48" s="7" t="str">
        <f t="shared" si="2"/>
        <v>-</v>
      </c>
      <c r="M48" s="19">
        <f t="shared" si="3"/>
        <v>0</v>
      </c>
      <c r="N48" s="19">
        <f t="shared" si="4"/>
        <v>0</v>
      </c>
      <c r="O48" s="8">
        <f t="shared" si="5"/>
        <v>0</v>
      </c>
      <c r="P48" s="30"/>
      <c r="Q48" s="14"/>
      <c r="S48" s="146"/>
    </row>
    <row r="49" spans="1:19" ht="13.5" hidden="1" customHeight="1" x14ac:dyDescent="0.2">
      <c r="A49" s="415"/>
      <c r="B49" s="383" t="str">
        <f>IF('Per8'!B49&lt;&gt;"",'Per8'!B49,"")</f>
        <v/>
      </c>
      <c r="C49" s="383"/>
      <c r="D49" s="60" t="str">
        <f>IF('Per8'!D49&lt;&gt;"",'Per8'!D49,"")</f>
        <v/>
      </c>
      <c r="E49" s="143" t="str">
        <f>'Per1'!E49</f>
        <v>Select</v>
      </c>
      <c r="F49" s="144" t="str">
        <f>'Per1'!F49</f>
        <v>Select One</v>
      </c>
      <c r="G49" s="481">
        <f>IF(E49="Hourly",ROUND('Per8'!G49*1.03,2),ROUND('Per8'!G49*1.03,0))</f>
        <v>0</v>
      </c>
      <c r="H49" s="482"/>
      <c r="I49" s="6"/>
      <c r="J49" s="27"/>
      <c r="K49" s="209">
        <f t="shared" si="6"/>
        <v>0</v>
      </c>
      <c r="L49" s="7" t="str">
        <f t="shared" si="2"/>
        <v>-</v>
      </c>
      <c r="M49" s="19">
        <f t="shared" si="3"/>
        <v>0</v>
      </c>
      <c r="N49" s="19">
        <f t="shared" si="4"/>
        <v>0</v>
      </c>
      <c r="O49" s="8">
        <f t="shared" si="5"/>
        <v>0</v>
      </c>
      <c r="P49" s="30"/>
      <c r="Q49" s="224" t="s">
        <v>111</v>
      </c>
      <c r="S49" s="146"/>
    </row>
    <row r="50" spans="1:19" ht="13.5" hidden="1" customHeight="1" x14ac:dyDescent="0.2">
      <c r="A50" s="415"/>
      <c r="B50" s="383" t="str">
        <f>IF('Per8'!B50&lt;&gt;"",'Per8'!B50,"")</f>
        <v/>
      </c>
      <c r="C50" s="383"/>
      <c r="D50" s="60" t="str">
        <f>IF('Per8'!D50&lt;&gt;"",'Per8'!D50,"")</f>
        <v/>
      </c>
      <c r="E50" s="143" t="str">
        <f>'Per1'!E50</f>
        <v>Select</v>
      </c>
      <c r="F50" s="144" t="str">
        <f>'Per1'!F50</f>
        <v>Select One</v>
      </c>
      <c r="G50" s="481">
        <f>IF(E50="Hourly",ROUND('Per8'!G50*1.03,2),ROUND('Per8'!G50*1.03,0))</f>
        <v>0</v>
      </c>
      <c r="H50" s="482"/>
      <c r="I50" s="6"/>
      <c r="J50" s="27"/>
      <c r="K50" s="209">
        <f t="shared" si="6"/>
        <v>0</v>
      </c>
      <c r="L50" s="7" t="str">
        <f t="shared" si="2"/>
        <v>-</v>
      </c>
      <c r="M50" s="19">
        <f t="shared" si="3"/>
        <v>0</v>
      </c>
      <c r="N50" s="19">
        <f t="shared" si="4"/>
        <v>0</v>
      </c>
      <c r="O50" s="8">
        <f t="shared" si="5"/>
        <v>0</v>
      </c>
      <c r="P50" s="30"/>
      <c r="Q50" s="14"/>
      <c r="S50" s="146"/>
    </row>
    <row r="51" spans="1:19" ht="13.5" hidden="1" customHeight="1" x14ac:dyDescent="0.2">
      <c r="A51" s="415"/>
      <c r="B51" s="383" t="str">
        <f>IF('Per8'!B51&lt;&gt;"",'Per8'!B51,"")</f>
        <v/>
      </c>
      <c r="C51" s="383"/>
      <c r="D51" s="60" t="str">
        <f>IF('Per8'!D51&lt;&gt;"",'Per8'!D51,"")</f>
        <v/>
      </c>
      <c r="E51" s="143" t="str">
        <f>'Per1'!E51</f>
        <v>Select</v>
      </c>
      <c r="F51" s="144" t="str">
        <f>'Per1'!F51</f>
        <v>Select One</v>
      </c>
      <c r="G51" s="481">
        <f>IF(E51="Hourly",ROUND('Per8'!G51*1.03,2),ROUND('Per8'!G51*1.03,0))</f>
        <v>0</v>
      </c>
      <c r="H51" s="482"/>
      <c r="I51" s="6"/>
      <c r="J51" s="27"/>
      <c r="K51" s="209">
        <f t="shared" si="6"/>
        <v>0</v>
      </c>
      <c r="L51" s="7" t="str">
        <f t="shared" si="2"/>
        <v>-</v>
      </c>
      <c r="M51" s="19">
        <f t="shared" si="3"/>
        <v>0</v>
      </c>
      <c r="N51" s="19">
        <f t="shared" si="4"/>
        <v>0</v>
      </c>
      <c r="O51" s="8">
        <f t="shared" si="5"/>
        <v>0</v>
      </c>
      <c r="P51" s="30"/>
      <c r="Q51" s="14"/>
      <c r="S51" s="146"/>
    </row>
    <row r="52" spans="1:19" ht="13.5" hidden="1" customHeight="1" x14ac:dyDescent="0.2">
      <c r="A52" s="415"/>
      <c r="B52" s="383" t="str">
        <f>IF('Per8'!B52&lt;&gt;"",'Per8'!B52,"")</f>
        <v/>
      </c>
      <c r="C52" s="383"/>
      <c r="D52" s="60" t="str">
        <f>IF('Per8'!D52&lt;&gt;"",'Per8'!D52,"")</f>
        <v/>
      </c>
      <c r="E52" s="143" t="str">
        <f>'Per1'!E52</f>
        <v>Select</v>
      </c>
      <c r="F52" s="144" t="str">
        <f>'Per1'!F52</f>
        <v>Select One</v>
      </c>
      <c r="G52" s="481">
        <f>IF(E52="Hourly",ROUND('Per8'!G52*1.03,2),ROUND('Per8'!G52*1.03,0))</f>
        <v>0</v>
      </c>
      <c r="H52" s="482"/>
      <c r="I52" s="6"/>
      <c r="J52" s="27"/>
      <c r="K52" s="209">
        <f t="shared" si="6"/>
        <v>0</v>
      </c>
      <c r="L52" s="7" t="str">
        <f t="shared" si="2"/>
        <v>-</v>
      </c>
      <c r="M52" s="19">
        <f t="shared" si="3"/>
        <v>0</v>
      </c>
      <c r="N52" s="19">
        <f t="shared" si="4"/>
        <v>0</v>
      </c>
      <c r="O52" s="8">
        <f t="shared" si="5"/>
        <v>0</v>
      </c>
      <c r="P52" s="30"/>
      <c r="Q52" s="14"/>
      <c r="S52" s="146"/>
    </row>
    <row r="53" spans="1:19" ht="13.5" hidden="1" customHeight="1" x14ac:dyDescent="0.2">
      <c r="A53" s="415"/>
      <c r="B53" s="383" t="str">
        <f>IF('Per8'!B53&lt;&gt;"",'Per8'!B53,"")</f>
        <v/>
      </c>
      <c r="C53" s="383"/>
      <c r="D53" s="60" t="str">
        <f>IF('Per8'!D53&lt;&gt;"",'Per8'!D53,"")</f>
        <v/>
      </c>
      <c r="E53" s="143" t="str">
        <f>'Per1'!E53</f>
        <v>Select</v>
      </c>
      <c r="F53" s="144" t="str">
        <f>'Per1'!F53</f>
        <v>Select One</v>
      </c>
      <c r="G53" s="481">
        <f>IF(E53="Hourly",ROUND('Per8'!G53*1.03,2),ROUND('Per8'!G53*1.03,0))</f>
        <v>0</v>
      </c>
      <c r="H53" s="482"/>
      <c r="I53" s="6"/>
      <c r="J53" s="27"/>
      <c r="K53" s="209">
        <f t="shared" si="6"/>
        <v>0</v>
      </c>
      <c r="L53" s="7" t="str">
        <f t="shared" si="2"/>
        <v>-</v>
      </c>
      <c r="M53" s="19">
        <f t="shared" si="3"/>
        <v>0</v>
      </c>
      <c r="N53" s="19">
        <f t="shared" si="4"/>
        <v>0</v>
      </c>
      <c r="O53" s="8">
        <f t="shared" si="5"/>
        <v>0</v>
      </c>
      <c r="P53" s="30"/>
      <c r="Q53" s="14"/>
      <c r="S53" s="146"/>
    </row>
    <row r="54" spans="1:19" ht="13.5" hidden="1" customHeight="1" x14ac:dyDescent="0.2">
      <c r="A54" s="415"/>
      <c r="B54" s="383" t="str">
        <f>IF('Per8'!B54&lt;&gt;"",'Per8'!B54,"")</f>
        <v/>
      </c>
      <c r="C54" s="383"/>
      <c r="D54" s="60" t="str">
        <f>IF('Per8'!D54&lt;&gt;"",'Per8'!D54,"")</f>
        <v/>
      </c>
      <c r="E54" s="143" t="str">
        <f>'Per1'!E54</f>
        <v>Select</v>
      </c>
      <c r="F54" s="144" t="str">
        <f>'Per1'!F54</f>
        <v>Select One</v>
      </c>
      <c r="G54" s="481">
        <f>IF(E54="Hourly",ROUND('Per8'!G54*1.03,2),ROUND('Per8'!G54*1.03,0))</f>
        <v>0</v>
      </c>
      <c r="H54" s="482"/>
      <c r="I54" s="6"/>
      <c r="J54" s="27"/>
      <c r="K54" s="209">
        <f t="shared" si="6"/>
        <v>0</v>
      </c>
      <c r="L54" s="7" t="str">
        <f t="shared" si="2"/>
        <v>-</v>
      </c>
      <c r="M54" s="19">
        <f t="shared" si="3"/>
        <v>0</v>
      </c>
      <c r="N54" s="19">
        <f t="shared" si="4"/>
        <v>0</v>
      </c>
      <c r="O54" s="8">
        <f t="shared" si="5"/>
        <v>0</v>
      </c>
      <c r="P54" s="30"/>
      <c r="Q54" s="14"/>
      <c r="S54" s="146"/>
    </row>
    <row r="55" spans="1:19" ht="13.5" hidden="1" customHeight="1" x14ac:dyDescent="0.2">
      <c r="A55" s="415"/>
      <c r="B55" s="383" t="str">
        <f>IF('Per8'!B55&lt;&gt;"",'Per8'!B55,"")</f>
        <v/>
      </c>
      <c r="C55" s="383"/>
      <c r="D55" s="60" t="str">
        <f>IF('Per8'!D55&lt;&gt;"",'Per8'!D55,"")</f>
        <v/>
      </c>
      <c r="E55" s="143" t="str">
        <f>'Per1'!E55</f>
        <v>Select</v>
      </c>
      <c r="F55" s="144" t="str">
        <f>'Per1'!F55</f>
        <v>Select One</v>
      </c>
      <c r="G55" s="481">
        <f>IF(E55="Hourly",ROUND('Per8'!G55*1.03,2),ROUND('Per8'!G55*1.03,0))</f>
        <v>0</v>
      </c>
      <c r="H55" s="482"/>
      <c r="I55" s="6"/>
      <c r="J55" s="27"/>
      <c r="K55" s="209">
        <f t="shared" si="6"/>
        <v>0</v>
      </c>
      <c r="L55" s="7" t="str">
        <f t="shared" si="2"/>
        <v>-</v>
      </c>
      <c r="M55" s="19">
        <f t="shared" si="3"/>
        <v>0</v>
      </c>
      <c r="N55" s="19">
        <f t="shared" si="4"/>
        <v>0</v>
      </c>
      <c r="O55" s="8">
        <f t="shared" si="5"/>
        <v>0</v>
      </c>
      <c r="P55" s="30"/>
      <c r="Q55" s="14"/>
      <c r="S55" s="146"/>
    </row>
    <row r="56" spans="1:19" ht="13.5" hidden="1" customHeight="1" x14ac:dyDescent="0.2">
      <c r="A56" s="415"/>
      <c r="B56" s="383" t="str">
        <f>IF('Per8'!B56&lt;&gt;"",'Per8'!B56,"")</f>
        <v/>
      </c>
      <c r="C56" s="383"/>
      <c r="D56" s="60" t="str">
        <f>IF('Per8'!D56&lt;&gt;"",'Per8'!D56,"")</f>
        <v/>
      </c>
      <c r="E56" s="143" t="str">
        <f>'Per1'!E56</f>
        <v>Select</v>
      </c>
      <c r="F56" s="144" t="str">
        <f>'Per1'!F56</f>
        <v>Select One</v>
      </c>
      <c r="G56" s="481">
        <f>IF(E56="Hourly",ROUND('Per8'!G56*1.03,2),ROUND('Per8'!G56*1.03,0))</f>
        <v>0</v>
      </c>
      <c r="H56" s="482"/>
      <c r="I56" s="6"/>
      <c r="J56" s="27"/>
      <c r="K56" s="209">
        <f t="shared" si="6"/>
        <v>0</v>
      </c>
      <c r="L56" s="7" t="str">
        <f t="shared" si="2"/>
        <v>-</v>
      </c>
      <c r="M56" s="19">
        <f t="shared" si="3"/>
        <v>0</v>
      </c>
      <c r="N56" s="19">
        <f t="shared" si="4"/>
        <v>0</v>
      </c>
      <c r="O56" s="8">
        <f t="shared" si="5"/>
        <v>0</v>
      </c>
      <c r="P56" s="30"/>
      <c r="Q56" s="14"/>
      <c r="S56" s="146"/>
    </row>
    <row r="57" spans="1:19" ht="13.5" hidden="1" customHeight="1" x14ac:dyDescent="0.2">
      <c r="A57" s="415"/>
      <c r="B57" s="383" t="str">
        <f>IF('Per8'!B57&lt;&gt;"",'Per8'!B57,"")</f>
        <v/>
      </c>
      <c r="C57" s="383"/>
      <c r="D57" s="60" t="str">
        <f>IF('Per8'!D57&lt;&gt;"",'Per8'!D57,"")</f>
        <v/>
      </c>
      <c r="E57" s="143" t="str">
        <f>'Per1'!E57</f>
        <v>Select</v>
      </c>
      <c r="F57" s="144" t="str">
        <f>'Per1'!F57</f>
        <v>Select One</v>
      </c>
      <c r="G57" s="481">
        <f>IF(E57="Hourly",ROUND('Per8'!G57*1.03,2),ROUND('Per8'!G57*1.03,0))</f>
        <v>0</v>
      </c>
      <c r="H57" s="482"/>
      <c r="I57" s="6"/>
      <c r="J57" s="27"/>
      <c r="K57" s="209">
        <f t="shared" si="6"/>
        <v>0</v>
      </c>
      <c r="L57" s="7" t="str">
        <f t="shared" si="2"/>
        <v>-</v>
      </c>
      <c r="M57" s="19">
        <f t="shared" si="3"/>
        <v>0</v>
      </c>
      <c r="N57" s="19">
        <f t="shared" si="4"/>
        <v>0</v>
      </c>
      <c r="O57" s="8">
        <f t="shared" si="5"/>
        <v>0</v>
      </c>
      <c r="P57" s="30"/>
      <c r="Q57" s="14"/>
      <c r="S57" s="146"/>
    </row>
    <row r="58" spans="1:19" ht="13.5" hidden="1" customHeight="1" x14ac:dyDescent="0.2">
      <c r="A58" s="415"/>
      <c r="B58" s="383" t="str">
        <f>IF('Per8'!B58&lt;&gt;"",'Per8'!B58,"")</f>
        <v/>
      </c>
      <c r="C58" s="383"/>
      <c r="D58" s="60" t="str">
        <f>IF('Per8'!D58&lt;&gt;"",'Per8'!D58,"")</f>
        <v/>
      </c>
      <c r="E58" s="143" t="str">
        <f>'Per1'!E58</f>
        <v>Select</v>
      </c>
      <c r="F58" s="144" t="str">
        <f>'Per1'!F58</f>
        <v>Select One</v>
      </c>
      <c r="G58" s="481">
        <f>IF(E58="Hourly",ROUND('Per8'!G58*1.03,2),ROUND('Per8'!G58*1.03,0))</f>
        <v>0</v>
      </c>
      <c r="H58" s="482"/>
      <c r="I58" s="6"/>
      <c r="J58" s="27"/>
      <c r="K58" s="209">
        <f t="shared" si="6"/>
        <v>0</v>
      </c>
      <c r="L58" s="7" t="str">
        <f t="shared" si="2"/>
        <v>-</v>
      </c>
      <c r="M58" s="19">
        <f t="shared" si="3"/>
        <v>0</v>
      </c>
      <c r="N58" s="19">
        <f t="shared" si="4"/>
        <v>0</v>
      </c>
      <c r="O58" s="8">
        <f t="shared" si="5"/>
        <v>0</v>
      </c>
      <c r="P58" s="30"/>
      <c r="Q58" s="14"/>
      <c r="S58" s="146"/>
    </row>
    <row r="59" spans="1:19" ht="13.5" hidden="1" customHeight="1" x14ac:dyDescent="0.2">
      <c r="A59" s="415"/>
      <c r="B59" s="383" t="str">
        <f>IF('Per8'!B59&lt;&gt;"",'Per8'!B59,"")</f>
        <v/>
      </c>
      <c r="C59" s="383"/>
      <c r="D59" s="60" t="str">
        <f>IF('Per8'!D59&lt;&gt;"",'Per8'!D59,"")</f>
        <v/>
      </c>
      <c r="E59" s="143" t="str">
        <f>'Per1'!E59</f>
        <v>Select</v>
      </c>
      <c r="F59" s="144" t="str">
        <f>'Per1'!F59</f>
        <v>Select One</v>
      </c>
      <c r="G59" s="481">
        <f>IF(E59="Hourly",ROUND('Per8'!G59*1.03,2),ROUND('Per8'!G59*1.03,0))</f>
        <v>0</v>
      </c>
      <c r="H59" s="482"/>
      <c r="I59" s="6"/>
      <c r="J59" s="27"/>
      <c r="K59" s="209">
        <f t="shared" si="6"/>
        <v>0</v>
      </c>
      <c r="L59" s="7" t="str">
        <f t="shared" si="2"/>
        <v>-</v>
      </c>
      <c r="M59" s="19">
        <f t="shared" si="3"/>
        <v>0</v>
      </c>
      <c r="N59" s="19">
        <f t="shared" si="4"/>
        <v>0</v>
      </c>
      <c r="O59" s="8">
        <f t="shared" si="5"/>
        <v>0</v>
      </c>
      <c r="P59" s="30"/>
      <c r="Q59" s="14"/>
      <c r="S59" s="146"/>
    </row>
    <row r="60" spans="1:19" ht="13.5" hidden="1" customHeight="1" x14ac:dyDescent="0.2">
      <c r="A60" s="415"/>
      <c r="B60" s="383" t="str">
        <f>IF('Per8'!B60&lt;&gt;"",'Per8'!B60,"")</f>
        <v/>
      </c>
      <c r="C60" s="383"/>
      <c r="D60" s="60" t="str">
        <f>IF('Per8'!D60&lt;&gt;"",'Per8'!D60,"")</f>
        <v/>
      </c>
      <c r="E60" s="143" t="str">
        <f>'Per1'!E60</f>
        <v>Select</v>
      </c>
      <c r="F60" s="144" t="str">
        <f>'Per1'!F60</f>
        <v>Select One</v>
      </c>
      <c r="G60" s="481">
        <f>IF(E60="Hourly",ROUND('Per8'!G60*1.03,2),ROUND('Per8'!G60*1.03,0))</f>
        <v>0</v>
      </c>
      <c r="H60" s="482"/>
      <c r="I60" s="6"/>
      <c r="J60" s="27"/>
      <c r="K60" s="209">
        <f t="shared" si="6"/>
        <v>0</v>
      </c>
      <c r="L60" s="7" t="str">
        <f t="shared" si="2"/>
        <v>-</v>
      </c>
      <c r="M60" s="19">
        <f t="shared" si="3"/>
        <v>0</v>
      </c>
      <c r="N60" s="19">
        <f t="shared" si="4"/>
        <v>0</v>
      </c>
      <c r="O60" s="8">
        <f t="shared" si="5"/>
        <v>0</v>
      </c>
      <c r="P60" s="30"/>
      <c r="Q60" s="14"/>
      <c r="S60" s="146"/>
    </row>
    <row r="61" spans="1:19" ht="13.5" hidden="1" customHeight="1" x14ac:dyDescent="0.2">
      <c r="A61" s="415"/>
      <c r="B61" s="383" t="str">
        <f>IF('Per8'!B61&lt;&gt;"",'Per8'!B61,"")</f>
        <v/>
      </c>
      <c r="C61" s="383"/>
      <c r="D61" s="60" t="str">
        <f>IF('Per8'!D61&lt;&gt;"",'Per8'!D61,"")</f>
        <v/>
      </c>
      <c r="E61" s="143" t="str">
        <f>'Per1'!E61</f>
        <v>Select</v>
      </c>
      <c r="F61" s="144" t="str">
        <f>'Per1'!F61</f>
        <v>Select One</v>
      </c>
      <c r="G61" s="481">
        <f>IF(E61="Hourly",ROUND('Per8'!G61*1.03,2),ROUND('Per8'!G61*1.03,0))</f>
        <v>0</v>
      </c>
      <c r="H61" s="482"/>
      <c r="I61" s="6"/>
      <c r="J61" s="27"/>
      <c r="K61" s="209">
        <f t="shared" si="6"/>
        <v>0</v>
      </c>
      <c r="L61" s="7" t="str">
        <f t="shared" si="2"/>
        <v>-</v>
      </c>
      <c r="M61" s="19">
        <f t="shared" si="3"/>
        <v>0</v>
      </c>
      <c r="N61" s="19">
        <f t="shared" si="4"/>
        <v>0</v>
      </c>
      <c r="O61" s="8">
        <f t="shared" si="5"/>
        <v>0</v>
      </c>
      <c r="P61" s="30"/>
      <c r="Q61" s="14"/>
      <c r="S61" s="146"/>
    </row>
    <row r="62" spans="1:19" ht="13.5" hidden="1" customHeight="1" x14ac:dyDescent="0.2">
      <c r="A62" s="415"/>
      <c r="B62" s="383" t="str">
        <f>IF('Per8'!B62&lt;&gt;"",'Per8'!B62,"")</f>
        <v/>
      </c>
      <c r="C62" s="383"/>
      <c r="D62" s="60" t="str">
        <f>IF('Per8'!D62&lt;&gt;"",'Per8'!D62,"")</f>
        <v/>
      </c>
      <c r="E62" s="143" t="str">
        <f>'Per1'!E62</f>
        <v>Select</v>
      </c>
      <c r="F62" s="144" t="str">
        <f>'Per1'!F62</f>
        <v>Select One</v>
      </c>
      <c r="G62" s="481">
        <f>IF(E62="Hourly",ROUND('Per8'!G62*1.03,2),ROUND('Per8'!G62*1.03,0))</f>
        <v>0</v>
      </c>
      <c r="H62" s="482"/>
      <c r="I62" s="6"/>
      <c r="J62" s="27"/>
      <c r="K62" s="209">
        <f t="shared" si="6"/>
        <v>0</v>
      </c>
      <c r="L62" s="7" t="str">
        <f t="shared" si="2"/>
        <v>-</v>
      </c>
      <c r="M62" s="19">
        <f t="shared" si="3"/>
        <v>0</v>
      </c>
      <c r="N62" s="19">
        <f t="shared" si="4"/>
        <v>0</v>
      </c>
      <c r="O62" s="8">
        <f t="shared" si="5"/>
        <v>0</v>
      </c>
      <c r="P62" s="30"/>
      <c r="Q62" s="14"/>
      <c r="S62" s="146"/>
    </row>
    <row r="63" spans="1:19" ht="13.5" hidden="1" customHeight="1" x14ac:dyDescent="0.2">
      <c r="A63" s="415"/>
      <c r="B63" s="383" t="str">
        <f>IF('Per8'!B63&lt;&gt;"",'Per8'!B63,"")</f>
        <v/>
      </c>
      <c r="C63" s="383"/>
      <c r="D63" s="60" t="str">
        <f>IF('Per8'!D63&lt;&gt;"",'Per8'!D63,"")</f>
        <v/>
      </c>
      <c r="E63" s="143" t="str">
        <f>'Per1'!E63</f>
        <v>Select</v>
      </c>
      <c r="F63" s="144" t="str">
        <f>'Per1'!F63</f>
        <v>Select One</v>
      </c>
      <c r="G63" s="481">
        <f>IF(E63="Hourly",ROUND('Per8'!G63*1.03,2),ROUND('Per8'!G63*1.03,0))</f>
        <v>0</v>
      </c>
      <c r="H63" s="482"/>
      <c r="I63" s="6"/>
      <c r="J63" s="27"/>
      <c r="K63" s="209">
        <f t="shared" si="6"/>
        <v>0</v>
      </c>
      <c r="L63" s="7" t="str">
        <f t="shared" si="2"/>
        <v>-</v>
      </c>
      <c r="M63" s="19">
        <f t="shared" si="3"/>
        <v>0</v>
      </c>
      <c r="N63" s="19">
        <f t="shared" si="4"/>
        <v>0</v>
      </c>
      <c r="O63" s="8">
        <f t="shared" si="5"/>
        <v>0</v>
      </c>
      <c r="P63" s="30"/>
      <c r="Q63" s="14"/>
      <c r="S63" s="146"/>
    </row>
    <row r="64" spans="1:19" ht="13.5" hidden="1" customHeight="1" x14ac:dyDescent="0.2">
      <c r="A64" s="415"/>
      <c r="B64" s="383" t="str">
        <f>IF('Per8'!B64&lt;&gt;"",'Per8'!B64,"")</f>
        <v/>
      </c>
      <c r="C64" s="383"/>
      <c r="D64" s="60" t="str">
        <f>IF('Per8'!D64&lt;&gt;"",'Per8'!D64,"")</f>
        <v/>
      </c>
      <c r="E64" s="143" t="str">
        <f>'Per1'!E64</f>
        <v>Select</v>
      </c>
      <c r="F64" s="144" t="str">
        <f>'Per1'!F64</f>
        <v>Select One</v>
      </c>
      <c r="G64" s="481">
        <f>IF(E64="Hourly",ROUND('Per8'!G64*1.03,2),ROUND('Per8'!G64*1.03,0))</f>
        <v>0</v>
      </c>
      <c r="H64" s="482"/>
      <c r="I64" s="6"/>
      <c r="J64" s="27"/>
      <c r="K64" s="209">
        <f t="shared" si="6"/>
        <v>0</v>
      </c>
      <c r="L64" s="7" t="str">
        <f t="shared" si="2"/>
        <v>-</v>
      </c>
      <c r="M64" s="19">
        <f t="shared" si="3"/>
        <v>0</v>
      </c>
      <c r="N64" s="19">
        <f t="shared" si="4"/>
        <v>0</v>
      </c>
      <c r="O64" s="8">
        <f t="shared" si="5"/>
        <v>0</v>
      </c>
      <c r="P64" s="30"/>
      <c r="S64" s="146"/>
    </row>
    <row r="65" spans="1:19" ht="13.5" hidden="1" customHeight="1" thickBot="1" x14ac:dyDescent="0.25">
      <c r="A65" s="415"/>
      <c r="B65" s="383" t="str">
        <f>IF('Per8'!B65&lt;&gt;"",'Per8'!B65,"")</f>
        <v/>
      </c>
      <c r="C65" s="383"/>
      <c r="D65" s="60" t="str">
        <f>IF('Per8'!D65&lt;&gt;"",'Per8'!D65,"")</f>
        <v/>
      </c>
      <c r="E65" s="143" t="str">
        <f>'Per1'!E65</f>
        <v>Select</v>
      </c>
      <c r="F65" s="144" t="str">
        <f>'Per1'!F65</f>
        <v>Select One</v>
      </c>
      <c r="G65" s="481">
        <f>IF(E65="Hourly",ROUND('Per8'!G65*1.03,2),ROUND('Per8'!G65*1.03,0))</f>
        <v>0</v>
      </c>
      <c r="H65" s="482"/>
      <c r="I65" s="6"/>
      <c r="J65" s="27"/>
      <c r="K65" s="209">
        <f t="shared" si="6"/>
        <v>0</v>
      </c>
      <c r="L65" s="7" t="str">
        <f t="shared" si="2"/>
        <v>-</v>
      </c>
      <c r="M65" s="19">
        <f t="shared" si="3"/>
        <v>0</v>
      </c>
      <c r="N65" s="19">
        <f t="shared" si="4"/>
        <v>0</v>
      </c>
      <c r="O65" s="8">
        <f t="shared" si="5"/>
        <v>0</v>
      </c>
      <c r="P65" s="30"/>
      <c r="S65" s="146"/>
    </row>
    <row r="66" spans="1:19" ht="13.5" customHeight="1" x14ac:dyDescent="0.2">
      <c r="A66" s="415"/>
      <c r="B66" s="504" t="s">
        <v>112</v>
      </c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121" t="s">
        <v>27</v>
      </c>
      <c r="O66" s="139">
        <f>SUM(O67:O68)</f>
        <v>0</v>
      </c>
      <c r="P66" s="147"/>
    </row>
    <row r="67" spans="1:19" ht="13.5" customHeight="1" x14ac:dyDescent="0.2">
      <c r="A67" s="415"/>
      <c r="B67" s="383" t="s">
        <v>113</v>
      </c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4"/>
      <c r="O67" s="11"/>
      <c r="P67" s="30"/>
    </row>
    <row r="68" spans="1:19" ht="13.5" customHeight="1" thickBot="1" x14ac:dyDescent="0.25">
      <c r="A68" s="415"/>
      <c r="B68" s="383" t="s">
        <v>114</v>
      </c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4"/>
      <c r="O68" s="22"/>
      <c r="P68" s="30"/>
    </row>
    <row r="69" spans="1:19" ht="13.5" customHeight="1" x14ac:dyDescent="0.2">
      <c r="A69" s="415"/>
      <c r="B69" s="504" t="s">
        <v>115</v>
      </c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121" t="s">
        <v>27</v>
      </c>
      <c r="O69" s="139">
        <f>SUM(O70,O77:O81)</f>
        <v>0</v>
      </c>
      <c r="P69" s="147"/>
    </row>
    <row r="70" spans="1:19" ht="13.5" customHeight="1" x14ac:dyDescent="0.2">
      <c r="A70" s="415"/>
      <c r="B70" s="523" t="s">
        <v>116</v>
      </c>
      <c r="C70" s="524"/>
      <c r="D70" s="524"/>
      <c r="E70" s="524"/>
      <c r="F70" s="524"/>
      <c r="G70" s="524"/>
      <c r="H70" s="524"/>
      <c r="I70" s="524"/>
      <c r="J70" s="524"/>
      <c r="K70" s="524"/>
      <c r="L70" s="524"/>
      <c r="M70" s="524"/>
      <c r="N70" s="524"/>
      <c r="O70" s="328">
        <f>SUM(N71:N76)</f>
        <v>0</v>
      </c>
      <c r="P70" s="30"/>
    </row>
    <row r="71" spans="1:19" ht="13.5" customHeight="1" x14ac:dyDescent="0.2">
      <c r="A71" s="415"/>
      <c r="B71" s="523" t="s">
        <v>117</v>
      </c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257">
        <v>0</v>
      </c>
      <c r="O71" s="322"/>
      <c r="P71" s="30"/>
    </row>
    <row r="72" spans="1:19" ht="13.5" customHeight="1" x14ac:dyDescent="0.2">
      <c r="A72" s="415"/>
      <c r="B72" s="382" t="s">
        <v>118</v>
      </c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4"/>
      <c r="N72" s="257">
        <v>0</v>
      </c>
      <c r="O72" s="322"/>
      <c r="P72" s="30"/>
    </row>
    <row r="73" spans="1:19" ht="13.5" customHeight="1" x14ac:dyDescent="0.2">
      <c r="A73" s="415"/>
      <c r="B73" s="523" t="s">
        <v>120</v>
      </c>
      <c r="C73" s="524"/>
      <c r="D73" s="524"/>
      <c r="E73" s="524"/>
      <c r="F73" s="524"/>
      <c r="G73" s="524"/>
      <c r="H73" s="524"/>
      <c r="I73" s="524"/>
      <c r="J73" s="524"/>
      <c r="K73" s="524"/>
      <c r="L73" s="524"/>
      <c r="M73" s="524"/>
      <c r="N73" s="257">
        <v>0</v>
      </c>
      <c r="O73" s="322"/>
      <c r="P73" s="30"/>
    </row>
    <row r="74" spans="1:19" ht="13.5" customHeight="1" x14ac:dyDescent="0.2">
      <c r="A74" s="415"/>
      <c r="B74" s="523" t="s">
        <v>121</v>
      </c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257">
        <v>0</v>
      </c>
      <c r="O74" s="322"/>
      <c r="P74" s="30"/>
    </row>
    <row r="75" spans="1:19" ht="13.5" customHeight="1" x14ac:dyDescent="0.2">
      <c r="A75" s="415"/>
      <c r="B75" s="523" t="s">
        <v>122</v>
      </c>
      <c r="C75" s="524"/>
      <c r="D75" s="524"/>
      <c r="E75" s="524"/>
      <c r="F75" s="524"/>
      <c r="G75" s="524"/>
      <c r="H75" s="524"/>
      <c r="I75" s="524"/>
      <c r="J75" s="524"/>
      <c r="K75" s="524"/>
      <c r="L75" s="524"/>
      <c r="M75" s="524"/>
      <c r="N75" s="257">
        <v>0</v>
      </c>
      <c r="O75" s="322"/>
      <c r="P75" s="30"/>
    </row>
    <row r="76" spans="1:19" ht="13.5" customHeight="1" x14ac:dyDescent="0.2">
      <c r="A76" s="415"/>
      <c r="B76" s="523" t="s">
        <v>123</v>
      </c>
      <c r="C76" s="524"/>
      <c r="D76" s="524"/>
      <c r="E76" s="524"/>
      <c r="F76" s="524"/>
      <c r="G76" s="524"/>
      <c r="H76" s="524"/>
      <c r="I76" s="524"/>
      <c r="J76" s="524"/>
      <c r="K76" s="524"/>
      <c r="L76" s="524"/>
      <c r="M76" s="524"/>
      <c r="N76" s="257">
        <v>0</v>
      </c>
      <c r="O76" s="322"/>
      <c r="P76" s="30"/>
    </row>
    <row r="77" spans="1:19" ht="13.5" customHeight="1" x14ac:dyDescent="0.2">
      <c r="A77" s="415"/>
      <c r="B77" s="523" t="s">
        <v>124</v>
      </c>
      <c r="C77" s="524"/>
      <c r="D77" s="524"/>
      <c r="E77" s="524"/>
      <c r="F77" s="524"/>
      <c r="G77" s="524"/>
      <c r="H77" s="524"/>
      <c r="I77" s="524"/>
      <c r="J77" s="524"/>
      <c r="K77" s="524"/>
      <c r="L77" s="524"/>
      <c r="M77" s="524"/>
      <c r="N77" s="524"/>
      <c r="O77" s="258">
        <v>0</v>
      </c>
      <c r="P77" s="30"/>
    </row>
    <row r="78" spans="1:19" ht="13.5" customHeight="1" x14ac:dyDescent="0.2">
      <c r="A78" s="415"/>
      <c r="B78" s="382" t="s">
        <v>125</v>
      </c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4"/>
      <c r="O78" s="258">
        <v>0</v>
      </c>
      <c r="P78" s="30"/>
      <c r="Q78" s="14" t="s">
        <v>127</v>
      </c>
    </row>
    <row r="79" spans="1:19" ht="13.5" customHeight="1" x14ac:dyDescent="0.2">
      <c r="A79" s="415"/>
      <c r="B79" s="523" t="s">
        <v>126</v>
      </c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258">
        <v>0</v>
      </c>
      <c r="P79" s="30"/>
    </row>
    <row r="80" spans="1:19" ht="13.5" customHeight="1" x14ac:dyDescent="0.2">
      <c r="A80" s="415"/>
      <c r="B80" s="523" t="s">
        <v>128</v>
      </c>
      <c r="C80" s="524"/>
      <c r="D80" s="524"/>
      <c r="E80" s="524"/>
      <c r="F80" s="524"/>
      <c r="G80" s="524"/>
      <c r="H80" s="524"/>
      <c r="I80" s="524"/>
      <c r="J80" s="524"/>
      <c r="K80" s="524"/>
      <c r="L80" s="524"/>
      <c r="M80" s="524"/>
      <c r="N80" s="524"/>
      <c r="O80" s="258">
        <v>0</v>
      </c>
      <c r="P80" s="30"/>
    </row>
    <row r="81" spans="1:17" ht="13.5" customHeight="1" thickBot="1" x14ac:dyDescent="0.25">
      <c r="A81" s="416"/>
      <c r="B81" s="564" t="s">
        <v>129</v>
      </c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16">
        <v>0</v>
      </c>
      <c r="P81" s="30"/>
      <c r="Q81" s="224" t="s">
        <v>199</v>
      </c>
    </row>
    <row r="82" spans="1:17" ht="18" customHeight="1" thickBot="1" x14ac:dyDescent="0.25">
      <c r="A82" s="540"/>
      <c r="B82" s="540"/>
      <c r="C82" s="540"/>
      <c r="D82" s="540"/>
      <c r="E82" s="540"/>
      <c r="F82" s="540"/>
      <c r="G82" s="540"/>
      <c r="H82" s="540"/>
      <c r="I82" s="540"/>
      <c r="J82" s="540"/>
      <c r="K82" s="540"/>
      <c r="L82" s="540"/>
      <c r="M82" s="540"/>
      <c r="N82" s="540"/>
      <c r="O82" s="540"/>
      <c r="P82" s="31"/>
      <c r="Q82" s="256" t="s">
        <v>130</v>
      </c>
    </row>
    <row r="83" spans="1:17" ht="13.5" customHeight="1" x14ac:dyDescent="0.2">
      <c r="A83" s="414" t="s">
        <v>131</v>
      </c>
      <c r="B83" s="495" t="s">
        <v>132</v>
      </c>
      <c r="C83" s="495"/>
      <c r="D83" s="495"/>
      <c r="E83" s="495"/>
      <c r="F83" s="495"/>
      <c r="G83" s="495"/>
      <c r="H83" s="495"/>
      <c r="I83" s="495"/>
      <c r="J83" s="495"/>
      <c r="K83" s="495"/>
      <c r="L83" s="495"/>
      <c r="M83" s="495"/>
      <c r="N83" s="121" t="s">
        <v>27</v>
      </c>
      <c r="O83" s="139">
        <f>SUM(O84:O86)</f>
        <v>0</v>
      </c>
      <c r="P83" s="147"/>
    </row>
    <row r="84" spans="1:17" ht="13.5" customHeight="1" x14ac:dyDescent="0.2">
      <c r="A84" s="415"/>
      <c r="B84" s="383" t="s">
        <v>133</v>
      </c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4"/>
      <c r="O84" s="15"/>
      <c r="P84" s="30"/>
    </row>
    <row r="85" spans="1:17" ht="13.5" customHeight="1" x14ac:dyDescent="0.2">
      <c r="A85" s="415"/>
      <c r="B85" s="383" t="s">
        <v>134</v>
      </c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4"/>
      <c r="O85" s="9"/>
      <c r="P85" s="30"/>
    </row>
    <row r="86" spans="1:17" ht="13.5" customHeight="1" thickBot="1" x14ac:dyDescent="0.25">
      <c r="A86" s="415"/>
      <c r="B86" s="501" t="s">
        <v>135</v>
      </c>
      <c r="C86" s="501"/>
      <c r="D86" s="501"/>
      <c r="E86" s="501"/>
      <c r="F86" s="501"/>
      <c r="G86" s="501"/>
      <c r="H86" s="501"/>
      <c r="I86" s="501"/>
      <c r="J86" s="501"/>
      <c r="K86" s="501"/>
      <c r="L86" s="501"/>
      <c r="M86" s="501"/>
      <c r="N86" s="502"/>
      <c r="O86" s="10"/>
      <c r="P86" s="30"/>
    </row>
    <row r="87" spans="1:17" ht="13.5" customHeight="1" x14ac:dyDescent="0.2">
      <c r="A87" s="415"/>
      <c r="B87" s="504" t="s">
        <v>136</v>
      </c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121" t="s">
        <v>27</v>
      </c>
      <c r="O87" s="139">
        <f>SUM(O88:O91)</f>
        <v>0</v>
      </c>
      <c r="P87" s="147"/>
    </row>
    <row r="88" spans="1:17" ht="13.5" customHeight="1" x14ac:dyDescent="0.2">
      <c r="A88" s="415"/>
      <c r="B88" s="506" t="s">
        <v>137</v>
      </c>
      <c r="C88" s="506"/>
      <c r="D88" s="506"/>
      <c r="E88" s="506"/>
      <c r="F88" s="506"/>
      <c r="G88" s="506"/>
      <c r="H88" s="506"/>
      <c r="I88" s="506"/>
      <c r="J88" s="506"/>
      <c r="K88" s="506"/>
      <c r="L88" s="506"/>
      <c r="M88" s="506"/>
      <c r="N88" s="507"/>
      <c r="O88" s="11"/>
      <c r="P88" s="30"/>
    </row>
    <row r="89" spans="1:17" ht="13.5" customHeight="1" x14ac:dyDescent="0.2">
      <c r="A89" s="415"/>
      <c r="B89" s="509" t="s">
        <v>138</v>
      </c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10"/>
      <c r="O89" s="13"/>
      <c r="P89" s="30"/>
      <c r="Q89" s="14" t="s">
        <v>139</v>
      </c>
    </row>
    <row r="90" spans="1:17" ht="13.5" customHeight="1" x14ac:dyDescent="0.2">
      <c r="A90" s="415"/>
      <c r="B90" s="383" t="s">
        <v>140</v>
      </c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4"/>
      <c r="O90" s="13"/>
      <c r="P90" s="30"/>
    </row>
    <row r="91" spans="1:17" ht="13.5" customHeight="1" thickBot="1" x14ac:dyDescent="0.25">
      <c r="A91" s="415"/>
      <c r="B91" s="501" t="s">
        <v>141</v>
      </c>
      <c r="C91" s="501"/>
      <c r="D91" s="501"/>
      <c r="E91" s="501"/>
      <c r="F91" s="501"/>
      <c r="G91" s="501"/>
      <c r="H91" s="501"/>
      <c r="I91" s="501"/>
      <c r="J91" s="501"/>
      <c r="K91" s="501"/>
      <c r="L91" s="501"/>
      <c r="M91" s="501"/>
      <c r="N91" s="502"/>
      <c r="O91" s="16"/>
      <c r="P91" s="30"/>
      <c r="Q91" s="14" t="s">
        <v>142</v>
      </c>
    </row>
    <row r="92" spans="1:17" ht="13.5" customHeight="1" x14ac:dyDescent="0.2">
      <c r="A92" s="415"/>
      <c r="B92" s="563" t="s">
        <v>143</v>
      </c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121" t="s">
        <v>27</v>
      </c>
      <c r="O92" s="148">
        <f>SUM(O93:O97)</f>
        <v>0</v>
      </c>
      <c r="P92" s="147"/>
    </row>
    <row r="93" spans="1:17" ht="13.5" customHeight="1" x14ac:dyDescent="0.2">
      <c r="A93" s="415"/>
      <c r="B93" s="388" t="s">
        <v>144</v>
      </c>
      <c r="C93" s="389"/>
      <c r="D93" s="389"/>
      <c r="E93" s="389"/>
      <c r="F93" s="389"/>
      <c r="G93" s="389"/>
      <c r="H93" s="389"/>
      <c r="I93" s="389"/>
      <c r="J93" s="389"/>
      <c r="K93" s="389"/>
      <c r="L93" s="389"/>
      <c r="M93" s="389"/>
      <c r="N93" s="390"/>
      <c r="O93" s="149"/>
      <c r="P93" s="147"/>
      <c r="Q93" s="14" t="s">
        <v>145</v>
      </c>
    </row>
    <row r="94" spans="1:17" ht="13.5" customHeight="1" x14ac:dyDescent="0.2">
      <c r="A94" s="415"/>
      <c r="B94" s="383" t="s">
        <v>146</v>
      </c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4"/>
      <c r="O94" s="13"/>
      <c r="P94" s="30"/>
    </row>
    <row r="95" spans="1:17" ht="13.5" customHeight="1" x14ac:dyDescent="0.2">
      <c r="A95" s="415"/>
      <c r="B95" s="383" t="s">
        <v>147</v>
      </c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4"/>
      <c r="O95" s="12"/>
      <c r="P95" s="30"/>
    </row>
    <row r="96" spans="1:17" ht="13.5" customHeight="1" x14ac:dyDescent="0.2">
      <c r="A96" s="415"/>
      <c r="B96" s="382" t="s">
        <v>148</v>
      </c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4"/>
      <c r="O96" s="12"/>
      <c r="P96" s="30"/>
    </row>
    <row r="97" spans="1:17" ht="13.5" customHeight="1" thickBot="1" x14ac:dyDescent="0.25">
      <c r="A97" s="415"/>
      <c r="B97" s="382" t="s">
        <v>149</v>
      </c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4"/>
      <c r="O97" s="12"/>
      <c r="P97" s="30"/>
    </row>
    <row r="98" spans="1:17" ht="18" customHeight="1" thickBot="1" x14ac:dyDescent="0.25">
      <c r="A98" s="18"/>
      <c r="B98" s="467"/>
      <c r="C98" s="467"/>
      <c r="D98" s="467"/>
      <c r="E98" s="467"/>
      <c r="F98" s="467"/>
      <c r="G98" s="467"/>
      <c r="H98" s="467"/>
      <c r="I98" s="467"/>
      <c r="J98" s="467"/>
      <c r="K98" s="467"/>
      <c r="L98" s="467"/>
      <c r="M98" s="467"/>
      <c r="N98" s="467"/>
      <c r="O98" s="467"/>
      <c r="P98" s="32"/>
    </row>
    <row r="99" spans="1:17" ht="13.5" customHeight="1" x14ac:dyDescent="0.2">
      <c r="A99" s="414" t="s">
        <v>150</v>
      </c>
      <c r="B99" s="469" t="s">
        <v>151</v>
      </c>
      <c r="C99" s="560"/>
      <c r="D99" s="560"/>
      <c r="E99" s="560"/>
      <c r="F99" s="560"/>
      <c r="G99" s="560"/>
      <c r="H99" s="560"/>
      <c r="I99" s="560"/>
      <c r="J99" s="560"/>
      <c r="K99" s="560"/>
      <c r="L99" s="560"/>
      <c r="M99" s="560"/>
      <c r="N99" s="36" t="s">
        <v>152</v>
      </c>
      <c r="O99" s="236">
        <f>J121</f>
        <v>0</v>
      </c>
      <c r="P99" s="30"/>
    </row>
    <row r="100" spans="1:17" ht="41.25" customHeight="1" x14ac:dyDescent="0.2">
      <c r="A100" s="415"/>
      <c r="B100" s="470" t="s">
        <v>153</v>
      </c>
      <c r="C100" s="21" t="s">
        <v>154</v>
      </c>
      <c r="D100" s="21"/>
      <c r="E100" s="21"/>
      <c r="F100" s="473" t="s">
        <v>155</v>
      </c>
      <c r="G100" s="474"/>
      <c r="H100" s="475" t="s">
        <v>156</v>
      </c>
      <c r="I100" s="475"/>
      <c r="J100" s="61" t="s">
        <v>157</v>
      </c>
      <c r="K100" s="242" t="s">
        <v>158</v>
      </c>
      <c r="L100" s="243" t="s">
        <v>159</v>
      </c>
      <c r="M100" s="244" t="s">
        <v>160</v>
      </c>
      <c r="N100" s="367" t="s">
        <v>161</v>
      </c>
      <c r="O100" s="368"/>
    </row>
    <row r="101" spans="1:17" ht="13.5" customHeight="1" x14ac:dyDescent="0.2">
      <c r="A101" s="415"/>
      <c r="B101" s="471"/>
      <c r="C101" s="372">
        <f>'Per1'!C101:E101</f>
        <v>0</v>
      </c>
      <c r="D101" s="373"/>
      <c r="E101" s="374"/>
      <c r="F101" s="393"/>
      <c r="G101" s="393"/>
      <c r="H101" s="393"/>
      <c r="I101" s="393"/>
      <c r="J101" s="330">
        <f>F101+H101</f>
        <v>0</v>
      </c>
      <c r="K101" s="245">
        <f>IF((J101+'Per1'!J101+'Per2'!J101+'Per3'!J101+'Per4'!J101+'Per5'!J101+'Per6'!J101+'Per7'!J101+'Per8'!J101)&lt;=24999,J101, 25000-'Per1'!K101-'Per2'!K101-'Per3'!K101-'Per4'!K101-'Per5'!K101-'Per6'!K101-'Per7'!K101-'Per8'!K101)</f>
        <v>0</v>
      </c>
      <c r="L101" s="331">
        <f>F101+H101-K101</f>
        <v>0</v>
      </c>
      <c r="M101" s="331">
        <f t="shared" ref="M101:M120" si="7">ROUND(IF(($L$7-VLOOKUP($G$123,$I$124:$K$142,3,FALSE))&lt;0,$K101,ROUND((1-($L$7-VLOOKUP($G$123,$I$124:$K$142,3,FALSE))/($L$7 +1 - $L$5))*$K101,0))*M$147,0) +ROUND(IF(($L$7-VLOOKUP($G$123,$I$124:$K$142,3,FALSE))&lt;0,0,ROUND(($L$7-VLOOKUP($G$123,$I$124:$K$142,3,FALSE))/($L$7 +1 - $L$5)*$K101,0))*M$148,0)</f>
        <v>0</v>
      </c>
      <c r="N101" s="365">
        <f>K101+L101+M101</f>
        <v>0</v>
      </c>
      <c r="O101" s="366"/>
    </row>
    <row r="102" spans="1:17" ht="13.5" customHeight="1" x14ac:dyDescent="0.2">
      <c r="A102" s="415"/>
      <c r="B102" s="471"/>
      <c r="C102" s="372">
        <f>'Per1'!C102:E102</f>
        <v>0</v>
      </c>
      <c r="D102" s="373"/>
      <c r="E102" s="374"/>
      <c r="F102" s="393"/>
      <c r="G102" s="393"/>
      <c r="H102" s="393"/>
      <c r="I102" s="393"/>
      <c r="J102" s="330">
        <f t="shared" ref="J102:J120" si="8">F102+H102</f>
        <v>0</v>
      </c>
      <c r="K102" s="245">
        <f>IF((J102+'Per1'!J102+'Per2'!J102+'Per3'!J102+'Per4'!J102+'Per5'!J102+'Per6'!J102+'Per7'!J102+'Per8'!J102)&lt;=24999,J102, 25000-'Per1'!K102-'Per2'!K102-'Per3'!K102-'Per4'!K102-'Per5'!K102-'Per6'!K102-'Per7'!K102-'Per8'!K102)</f>
        <v>0</v>
      </c>
      <c r="L102" s="331">
        <f>F102+H102-K102</f>
        <v>0</v>
      </c>
      <c r="M102" s="331">
        <f t="shared" si="7"/>
        <v>0</v>
      </c>
      <c r="N102" s="365">
        <f t="shared" ref="N102:N120" si="9">K102+L102+M102</f>
        <v>0</v>
      </c>
      <c r="O102" s="366"/>
    </row>
    <row r="103" spans="1:17" ht="13.5" customHeight="1" x14ac:dyDescent="0.2">
      <c r="A103" s="415"/>
      <c r="B103" s="471"/>
      <c r="C103" s="372">
        <f>'Per1'!C103:E103</f>
        <v>0</v>
      </c>
      <c r="D103" s="373"/>
      <c r="E103" s="374"/>
      <c r="F103" s="393"/>
      <c r="G103" s="393"/>
      <c r="H103" s="393"/>
      <c r="I103" s="393"/>
      <c r="J103" s="330">
        <f t="shared" si="8"/>
        <v>0</v>
      </c>
      <c r="K103" s="245">
        <f>IF((J103+'Per1'!J103+'Per2'!J103+'Per3'!J103+'Per4'!J103+'Per5'!J103+'Per6'!J103+'Per7'!J103+'Per8'!J103)&lt;=24999,J103, 25000-'Per1'!K103-'Per2'!K103-'Per3'!K103-'Per4'!K103-'Per5'!K103-'Per6'!K103-'Per7'!K103-'Per8'!K103)</f>
        <v>0</v>
      </c>
      <c r="L103" s="331">
        <f>F103+H103-K103</f>
        <v>0</v>
      </c>
      <c r="M103" s="331">
        <f t="shared" si="7"/>
        <v>0</v>
      </c>
      <c r="N103" s="365">
        <f t="shared" si="9"/>
        <v>0</v>
      </c>
      <c r="O103" s="366"/>
    </row>
    <row r="104" spans="1:17" ht="13.5" customHeight="1" x14ac:dyDescent="0.2">
      <c r="A104" s="415"/>
      <c r="B104" s="471"/>
      <c r="C104" s="372">
        <f>'Per1'!C104:E104</f>
        <v>0</v>
      </c>
      <c r="D104" s="373"/>
      <c r="E104" s="374"/>
      <c r="F104" s="393"/>
      <c r="G104" s="393"/>
      <c r="H104" s="393"/>
      <c r="I104" s="393"/>
      <c r="J104" s="330">
        <f t="shared" si="8"/>
        <v>0</v>
      </c>
      <c r="K104" s="245">
        <f>IF((J104+'Per1'!J104+'Per2'!J104+'Per3'!J104+'Per4'!J104+'Per5'!J104+'Per6'!J104+'Per7'!J104+'Per8'!J104)&lt;=24999,J104, 25000-'Per1'!K104-'Per2'!K104-'Per3'!K104-'Per4'!K104-'Per5'!K104-'Per6'!K104-'Per7'!K104-'Per8'!K104)</f>
        <v>0</v>
      </c>
      <c r="L104" s="331">
        <f>F104+H104-K104</f>
        <v>0</v>
      </c>
      <c r="M104" s="331">
        <f t="shared" si="7"/>
        <v>0</v>
      </c>
      <c r="N104" s="365">
        <f t="shared" si="9"/>
        <v>0</v>
      </c>
      <c r="O104" s="366"/>
    </row>
    <row r="105" spans="1:17" ht="13.5" customHeight="1" x14ac:dyDescent="0.2">
      <c r="A105" s="415"/>
      <c r="B105" s="471"/>
      <c r="C105" s="372">
        <f>'Per1'!C105:E105</f>
        <v>0</v>
      </c>
      <c r="D105" s="373"/>
      <c r="E105" s="374"/>
      <c r="F105" s="375"/>
      <c r="G105" s="375"/>
      <c r="H105" s="375"/>
      <c r="I105" s="375"/>
      <c r="J105" s="332">
        <f t="shared" si="8"/>
        <v>0</v>
      </c>
      <c r="K105" s="245">
        <f>IF((J105+'Per1'!J105+'Per2'!J105+'Per3'!J105+'Per4'!J105+'Per5'!J105+'Per6'!J105+'Per7'!J105+'Per8'!J105)&lt;=24999,J105, 25000-'Per1'!K105-'Per2'!K105-'Per3'!K105-'Per4'!K105-'Per5'!K105-'Per6'!K105-'Per7'!K105-'Per8'!K105)</f>
        <v>0</v>
      </c>
      <c r="L105" s="333">
        <f>F105+H105-K105</f>
        <v>0</v>
      </c>
      <c r="M105" s="331">
        <f t="shared" si="7"/>
        <v>0</v>
      </c>
      <c r="N105" s="561">
        <f t="shared" si="9"/>
        <v>0</v>
      </c>
      <c r="O105" s="562"/>
      <c r="Q105" s="224" t="s">
        <v>162</v>
      </c>
    </row>
    <row r="106" spans="1:17" ht="13.5" customHeight="1" thickBot="1" x14ac:dyDescent="0.25">
      <c r="A106" s="415"/>
      <c r="B106" s="471"/>
      <c r="C106" s="372">
        <f>'Per1'!C106:E106</f>
        <v>0</v>
      </c>
      <c r="D106" s="373"/>
      <c r="E106" s="374"/>
      <c r="F106" s="375"/>
      <c r="G106" s="375"/>
      <c r="H106" s="375"/>
      <c r="I106" s="375"/>
      <c r="J106" s="332">
        <f t="shared" si="8"/>
        <v>0</v>
      </c>
      <c r="K106" s="245">
        <f>IF((J106+'Per1'!J106+'Per2'!J106+'Per3'!J106+'Per4'!J106+'Per5'!J106+'Per6'!J106+'Per7'!J106+'Per8'!J106)&lt;=24999,J106, 25000-'Per1'!K106-'Per2'!K106-'Per3'!K106-'Per4'!K106-'Per5'!K106-'Per6'!K106-'Per7'!K106-'Per8'!K106)</f>
        <v>0</v>
      </c>
      <c r="L106" s="333">
        <f t="shared" ref="L106:L120" si="10">F106+H106-K106</f>
        <v>0</v>
      </c>
      <c r="M106" s="331">
        <f t="shared" si="7"/>
        <v>0</v>
      </c>
      <c r="N106" s="365">
        <f t="shared" si="9"/>
        <v>0</v>
      </c>
      <c r="O106" s="366"/>
    </row>
    <row r="107" spans="1:17" ht="13.5" hidden="1" customHeight="1" x14ac:dyDescent="0.2">
      <c r="A107" s="415"/>
      <c r="B107" s="471"/>
      <c r="C107" s="372">
        <f>'Per1'!C107:E107</f>
        <v>0</v>
      </c>
      <c r="D107" s="373"/>
      <c r="E107" s="374"/>
      <c r="F107" s="375"/>
      <c r="G107" s="375"/>
      <c r="H107" s="375"/>
      <c r="I107" s="375"/>
      <c r="J107" s="332">
        <f t="shared" si="8"/>
        <v>0</v>
      </c>
      <c r="K107" s="245">
        <f>IF((J107+'Per1'!J107+'Per2'!J107+'Per3'!J107+'Per4'!J107+'Per5'!J107+'Per6'!J107+'Per7'!J107+'Per8'!J107)&lt;=24999,J107, 25000-'Per1'!K107-'Per2'!K107-'Per3'!K107-'Per4'!K107-'Per5'!K107-'Per6'!K107-'Per7'!K107-'Per8'!K107)</f>
        <v>0</v>
      </c>
      <c r="L107" s="333">
        <f t="shared" si="10"/>
        <v>0</v>
      </c>
      <c r="M107" s="331">
        <f t="shared" si="7"/>
        <v>0</v>
      </c>
      <c r="N107" s="365">
        <f t="shared" si="9"/>
        <v>0</v>
      </c>
      <c r="O107" s="366"/>
    </row>
    <row r="108" spans="1:17" ht="13.5" hidden="1" customHeight="1" x14ac:dyDescent="0.2">
      <c r="A108" s="415"/>
      <c r="B108" s="471"/>
      <c r="C108" s="372">
        <f>'Per1'!C108:E108</f>
        <v>0</v>
      </c>
      <c r="D108" s="373"/>
      <c r="E108" s="374"/>
      <c r="F108" s="375"/>
      <c r="G108" s="375"/>
      <c r="H108" s="375"/>
      <c r="I108" s="375"/>
      <c r="J108" s="332">
        <f t="shared" si="8"/>
        <v>0</v>
      </c>
      <c r="K108" s="245">
        <f>IF((J108+'Per1'!J108+'Per2'!J108+'Per3'!J108+'Per4'!J108+'Per5'!J108+'Per6'!J108+'Per7'!J108+'Per8'!J108)&lt;=24999,J108, 25000-'Per1'!K108-'Per2'!K108-'Per3'!K108-'Per4'!K108-'Per5'!K108-'Per6'!K108-'Per7'!K108-'Per8'!K108)</f>
        <v>0</v>
      </c>
      <c r="L108" s="333">
        <f t="shared" si="10"/>
        <v>0</v>
      </c>
      <c r="M108" s="331">
        <f t="shared" si="7"/>
        <v>0</v>
      </c>
      <c r="N108" s="365">
        <f t="shared" si="9"/>
        <v>0</v>
      </c>
      <c r="O108" s="366"/>
    </row>
    <row r="109" spans="1:17" ht="13.5" hidden="1" customHeight="1" x14ac:dyDescent="0.2">
      <c r="A109" s="415"/>
      <c r="B109" s="471"/>
      <c r="C109" s="372">
        <f>'Per1'!C109:E109</f>
        <v>0</v>
      </c>
      <c r="D109" s="373"/>
      <c r="E109" s="374"/>
      <c r="F109" s="375"/>
      <c r="G109" s="375"/>
      <c r="H109" s="375"/>
      <c r="I109" s="375"/>
      <c r="J109" s="332">
        <f t="shared" si="8"/>
        <v>0</v>
      </c>
      <c r="K109" s="245">
        <f>IF((J109+'Per1'!J109+'Per2'!J109+'Per3'!J109+'Per4'!J109+'Per5'!J109+'Per6'!J109+'Per7'!J109+'Per8'!J109)&lt;=24999,J109, 25000-'Per1'!K109-'Per2'!K109-'Per3'!K109-'Per4'!K109-'Per5'!K109-'Per6'!K109-'Per7'!K109-'Per8'!K109)</f>
        <v>0</v>
      </c>
      <c r="L109" s="333">
        <f t="shared" si="10"/>
        <v>0</v>
      </c>
      <c r="M109" s="331">
        <f t="shared" si="7"/>
        <v>0</v>
      </c>
      <c r="N109" s="365">
        <f t="shared" si="9"/>
        <v>0</v>
      </c>
      <c r="O109" s="366"/>
    </row>
    <row r="110" spans="1:17" ht="13.5" hidden="1" customHeight="1" x14ac:dyDescent="0.2">
      <c r="A110" s="415"/>
      <c r="B110" s="471"/>
      <c r="C110" s="372">
        <f>'Per1'!C110:E110</f>
        <v>0</v>
      </c>
      <c r="D110" s="373"/>
      <c r="E110" s="374"/>
      <c r="F110" s="375"/>
      <c r="G110" s="375"/>
      <c r="H110" s="375"/>
      <c r="I110" s="375"/>
      <c r="J110" s="332">
        <f t="shared" si="8"/>
        <v>0</v>
      </c>
      <c r="K110" s="245">
        <f>IF((J110+'Per1'!J110+'Per2'!J110+'Per3'!J110+'Per4'!J110+'Per5'!J110+'Per6'!J110+'Per7'!J110+'Per8'!J110)&lt;=24999,J110, 25000-'Per1'!K110-'Per2'!K110-'Per3'!K110-'Per4'!K110-'Per5'!K110-'Per6'!K110-'Per7'!K110-'Per8'!K110)</f>
        <v>0</v>
      </c>
      <c r="L110" s="333">
        <f t="shared" si="10"/>
        <v>0</v>
      </c>
      <c r="M110" s="331">
        <f t="shared" si="7"/>
        <v>0</v>
      </c>
      <c r="N110" s="365">
        <f t="shared" si="9"/>
        <v>0</v>
      </c>
      <c r="O110" s="366"/>
    </row>
    <row r="111" spans="1:17" ht="13.5" hidden="1" customHeight="1" x14ac:dyDescent="0.2">
      <c r="A111" s="415"/>
      <c r="B111" s="471"/>
      <c r="C111" s="372">
        <f>'Per1'!C111:E111</f>
        <v>0</v>
      </c>
      <c r="D111" s="373"/>
      <c r="E111" s="374"/>
      <c r="F111" s="375"/>
      <c r="G111" s="375"/>
      <c r="H111" s="375"/>
      <c r="I111" s="375"/>
      <c r="J111" s="332">
        <f t="shared" si="8"/>
        <v>0</v>
      </c>
      <c r="K111" s="245">
        <f>IF((J111+'Per1'!J111+'Per2'!J111+'Per3'!J111+'Per4'!J111+'Per5'!J111+'Per6'!J111+'Per7'!J111+'Per8'!J111)&lt;=24999,J111, 25000-'Per1'!K111-'Per2'!K111-'Per3'!K111-'Per4'!K111-'Per5'!K111-'Per6'!K111-'Per7'!K111-'Per8'!K111)</f>
        <v>0</v>
      </c>
      <c r="L111" s="333">
        <f t="shared" si="10"/>
        <v>0</v>
      </c>
      <c r="M111" s="331">
        <f t="shared" si="7"/>
        <v>0</v>
      </c>
      <c r="N111" s="365">
        <f t="shared" si="9"/>
        <v>0</v>
      </c>
      <c r="O111" s="366"/>
    </row>
    <row r="112" spans="1:17" ht="13.5" hidden="1" customHeight="1" x14ac:dyDescent="0.2">
      <c r="A112" s="415"/>
      <c r="B112" s="471"/>
      <c r="C112" s="372">
        <f>'Per1'!C112:E112</f>
        <v>0</v>
      </c>
      <c r="D112" s="373"/>
      <c r="E112" s="374"/>
      <c r="F112" s="375"/>
      <c r="G112" s="375"/>
      <c r="H112" s="375"/>
      <c r="I112" s="375"/>
      <c r="J112" s="332">
        <f t="shared" si="8"/>
        <v>0</v>
      </c>
      <c r="K112" s="245">
        <f>IF((J112+'Per1'!J112+'Per2'!J112+'Per3'!J112+'Per4'!J112+'Per5'!J112+'Per6'!J112+'Per7'!J112+'Per8'!J112)&lt;=24999,J112, 25000-'Per1'!K112-'Per2'!K112-'Per3'!K112-'Per4'!K112-'Per5'!K112-'Per6'!K112-'Per7'!K112-'Per8'!K112)</f>
        <v>0</v>
      </c>
      <c r="L112" s="333">
        <f t="shared" si="10"/>
        <v>0</v>
      </c>
      <c r="M112" s="331">
        <f t="shared" si="7"/>
        <v>0</v>
      </c>
      <c r="N112" s="365">
        <f t="shared" si="9"/>
        <v>0</v>
      </c>
      <c r="O112" s="366"/>
    </row>
    <row r="113" spans="1:16" ht="13.5" hidden="1" customHeight="1" x14ac:dyDescent="0.2">
      <c r="A113" s="415"/>
      <c r="B113" s="471"/>
      <c r="C113" s="372">
        <f>'Per1'!C113:E113</f>
        <v>0</v>
      </c>
      <c r="D113" s="373"/>
      <c r="E113" s="374"/>
      <c r="F113" s="375"/>
      <c r="G113" s="375"/>
      <c r="H113" s="375"/>
      <c r="I113" s="375"/>
      <c r="J113" s="332">
        <f t="shared" si="8"/>
        <v>0</v>
      </c>
      <c r="K113" s="245">
        <f>IF((J113+'Per1'!J113+'Per2'!J113+'Per3'!J113+'Per4'!J113+'Per5'!J113+'Per6'!J113+'Per7'!J113+'Per8'!J113)&lt;=24999,J113, 25000-'Per1'!K113-'Per2'!K113-'Per3'!K113-'Per4'!K113-'Per5'!K113-'Per6'!K113-'Per7'!K113-'Per8'!K113)</f>
        <v>0</v>
      </c>
      <c r="L113" s="333">
        <f t="shared" si="10"/>
        <v>0</v>
      </c>
      <c r="M113" s="331">
        <f t="shared" si="7"/>
        <v>0</v>
      </c>
      <c r="N113" s="365">
        <f t="shared" si="9"/>
        <v>0</v>
      </c>
      <c r="O113" s="366"/>
    </row>
    <row r="114" spans="1:16" ht="13.5" hidden="1" customHeight="1" x14ac:dyDescent="0.2">
      <c r="A114" s="415"/>
      <c r="B114" s="471"/>
      <c r="C114" s="372">
        <f>'Per1'!C114:E114</f>
        <v>0</v>
      </c>
      <c r="D114" s="373"/>
      <c r="E114" s="374"/>
      <c r="F114" s="375"/>
      <c r="G114" s="375"/>
      <c r="H114" s="375"/>
      <c r="I114" s="375"/>
      <c r="J114" s="332">
        <f t="shared" si="8"/>
        <v>0</v>
      </c>
      <c r="K114" s="245">
        <f>IF((J114+'Per1'!J114+'Per2'!J114+'Per3'!J114+'Per4'!J114+'Per5'!J114+'Per6'!J114+'Per7'!J114+'Per8'!J114)&lt;=24999,J114, 25000-'Per1'!K114-'Per2'!K114-'Per3'!K114-'Per4'!K114-'Per5'!K114-'Per6'!K114-'Per7'!K114-'Per8'!K114)</f>
        <v>0</v>
      </c>
      <c r="L114" s="333">
        <f t="shared" si="10"/>
        <v>0</v>
      </c>
      <c r="M114" s="331">
        <f t="shared" si="7"/>
        <v>0</v>
      </c>
      <c r="N114" s="365">
        <f t="shared" si="9"/>
        <v>0</v>
      </c>
      <c r="O114" s="366"/>
    </row>
    <row r="115" spans="1:16" ht="13.5" hidden="1" customHeight="1" x14ac:dyDescent="0.2">
      <c r="A115" s="415"/>
      <c r="B115" s="471"/>
      <c r="C115" s="372">
        <f>'Per1'!C115:E115</f>
        <v>0</v>
      </c>
      <c r="D115" s="373"/>
      <c r="E115" s="374"/>
      <c r="F115" s="375"/>
      <c r="G115" s="375"/>
      <c r="H115" s="375"/>
      <c r="I115" s="375"/>
      <c r="J115" s="332">
        <f t="shared" si="8"/>
        <v>0</v>
      </c>
      <c r="K115" s="245">
        <f>IF((J115+'Per1'!J115+'Per2'!J115+'Per3'!J115+'Per4'!J115+'Per5'!J115+'Per6'!J115+'Per7'!J115+'Per8'!J115)&lt;=24999,J115, 25000-'Per1'!K115-'Per2'!K115-'Per3'!K115-'Per4'!K115-'Per5'!K115-'Per6'!K115-'Per7'!K115-'Per8'!K115)</f>
        <v>0</v>
      </c>
      <c r="L115" s="333">
        <f t="shared" si="10"/>
        <v>0</v>
      </c>
      <c r="M115" s="331">
        <f t="shared" si="7"/>
        <v>0</v>
      </c>
      <c r="N115" s="365">
        <f t="shared" si="9"/>
        <v>0</v>
      </c>
      <c r="O115" s="366"/>
    </row>
    <row r="116" spans="1:16" ht="13.5" hidden="1" customHeight="1" x14ac:dyDescent="0.2">
      <c r="A116" s="415"/>
      <c r="B116" s="471"/>
      <c r="C116" s="372">
        <f>'Per1'!C116:E116</f>
        <v>0</v>
      </c>
      <c r="D116" s="373"/>
      <c r="E116" s="374"/>
      <c r="F116" s="375"/>
      <c r="G116" s="375"/>
      <c r="H116" s="375"/>
      <c r="I116" s="375"/>
      <c r="J116" s="332">
        <f t="shared" si="8"/>
        <v>0</v>
      </c>
      <c r="K116" s="245">
        <f>IF((J116+'Per1'!J116+'Per2'!J116+'Per3'!J116+'Per4'!J116+'Per5'!J116+'Per6'!J116+'Per7'!J116+'Per8'!J116)&lt;=24999,J116, 25000-'Per1'!K116-'Per2'!K116-'Per3'!K116-'Per4'!K116-'Per5'!K116-'Per6'!K116-'Per7'!K116-'Per8'!K116)</f>
        <v>0</v>
      </c>
      <c r="L116" s="333">
        <f t="shared" si="10"/>
        <v>0</v>
      </c>
      <c r="M116" s="331">
        <f t="shared" si="7"/>
        <v>0</v>
      </c>
      <c r="N116" s="365">
        <f t="shared" si="9"/>
        <v>0</v>
      </c>
      <c r="O116" s="366"/>
    </row>
    <row r="117" spans="1:16" ht="13.5" hidden="1" customHeight="1" x14ac:dyDescent="0.2">
      <c r="A117" s="415"/>
      <c r="B117" s="471"/>
      <c r="C117" s="372">
        <f>'Per1'!C117:E117</f>
        <v>0</v>
      </c>
      <c r="D117" s="373"/>
      <c r="E117" s="374"/>
      <c r="F117" s="375"/>
      <c r="G117" s="375"/>
      <c r="H117" s="375"/>
      <c r="I117" s="375"/>
      <c r="J117" s="332">
        <f t="shared" si="8"/>
        <v>0</v>
      </c>
      <c r="K117" s="245">
        <f>IF((J117+'Per1'!J117+'Per2'!J117+'Per3'!J117+'Per4'!J117+'Per5'!J117+'Per6'!J117+'Per7'!J117+'Per8'!J117)&lt;=24999,J117, 25000-'Per1'!K117-'Per2'!K117-'Per3'!K117-'Per4'!K117-'Per5'!K117-'Per6'!K117-'Per7'!K117-'Per8'!K117)</f>
        <v>0</v>
      </c>
      <c r="L117" s="333">
        <f t="shared" si="10"/>
        <v>0</v>
      </c>
      <c r="M117" s="331">
        <f t="shared" si="7"/>
        <v>0</v>
      </c>
      <c r="N117" s="365">
        <f t="shared" si="9"/>
        <v>0</v>
      </c>
      <c r="O117" s="366"/>
    </row>
    <row r="118" spans="1:16" ht="13.5" hidden="1" customHeight="1" x14ac:dyDescent="0.2">
      <c r="A118" s="415"/>
      <c r="B118" s="471"/>
      <c r="C118" s="372">
        <f>'Per1'!C118:E118</f>
        <v>0</v>
      </c>
      <c r="D118" s="373"/>
      <c r="E118" s="374"/>
      <c r="F118" s="375"/>
      <c r="G118" s="375"/>
      <c r="H118" s="375"/>
      <c r="I118" s="375"/>
      <c r="J118" s="332">
        <f t="shared" si="8"/>
        <v>0</v>
      </c>
      <c r="K118" s="245">
        <f>IF((J118+'Per1'!J118+'Per2'!J118+'Per3'!J118+'Per4'!J118+'Per5'!J118+'Per6'!J118+'Per7'!J118+'Per8'!J118)&lt;=24999,J118, 25000-'Per1'!K118-'Per2'!K118-'Per3'!K118-'Per4'!K118-'Per5'!K118-'Per6'!K118-'Per7'!K118-'Per8'!K118)</f>
        <v>0</v>
      </c>
      <c r="L118" s="333">
        <f t="shared" si="10"/>
        <v>0</v>
      </c>
      <c r="M118" s="331">
        <f t="shared" si="7"/>
        <v>0</v>
      </c>
      <c r="N118" s="365">
        <f t="shared" si="9"/>
        <v>0</v>
      </c>
      <c r="O118" s="366"/>
    </row>
    <row r="119" spans="1:16" ht="13.5" hidden="1" customHeight="1" x14ac:dyDescent="0.2">
      <c r="A119" s="415"/>
      <c r="B119" s="471"/>
      <c r="C119" s="372">
        <f>'Per1'!C119:E119</f>
        <v>0</v>
      </c>
      <c r="D119" s="373"/>
      <c r="E119" s="374"/>
      <c r="F119" s="375"/>
      <c r="G119" s="375"/>
      <c r="H119" s="375"/>
      <c r="I119" s="375"/>
      <c r="J119" s="332">
        <f t="shared" si="8"/>
        <v>0</v>
      </c>
      <c r="K119" s="245">
        <f>IF((J119+'Per1'!J119+'Per2'!J119+'Per3'!J119+'Per4'!J119+'Per5'!J119+'Per6'!J119+'Per7'!J119+'Per8'!J119)&lt;=24999,J119, 25000-'Per1'!K119-'Per2'!K119-'Per3'!K119-'Per4'!K119-'Per5'!K119-'Per6'!K119-'Per7'!K119-'Per8'!K119)</f>
        <v>0</v>
      </c>
      <c r="L119" s="333">
        <f t="shared" si="10"/>
        <v>0</v>
      </c>
      <c r="M119" s="331">
        <f t="shared" si="7"/>
        <v>0</v>
      </c>
      <c r="N119" s="365">
        <f t="shared" si="9"/>
        <v>0</v>
      </c>
      <c r="O119" s="366"/>
    </row>
    <row r="120" spans="1:16" ht="13.5" hidden="1" customHeight="1" thickBot="1" x14ac:dyDescent="0.25">
      <c r="A120" s="415"/>
      <c r="B120" s="471"/>
      <c r="C120" s="372">
        <f>'Per1'!C120:E120</f>
        <v>0</v>
      </c>
      <c r="D120" s="373"/>
      <c r="E120" s="374"/>
      <c r="F120" s="375"/>
      <c r="G120" s="375"/>
      <c r="H120" s="375"/>
      <c r="I120" s="375"/>
      <c r="J120" s="332">
        <f t="shared" si="8"/>
        <v>0</v>
      </c>
      <c r="K120" s="245">
        <f>IF((J120+'Per1'!J120+'Per2'!J120+'Per3'!J120+'Per4'!J120+'Per5'!J120+'Per6'!J120+'Per7'!J120+'Per8'!J120)&lt;=24999,J120, 25000-'Per1'!K120-'Per2'!K120-'Per3'!K120-'Per4'!K120-'Per5'!K120-'Per6'!K120-'Per7'!K120-'Per8'!K120)</f>
        <v>0</v>
      </c>
      <c r="L120" s="333">
        <f t="shared" si="10"/>
        <v>0</v>
      </c>
      <c r="M120" s="331">
        <f t="shared" si="7"/>
        <v>0</v>
      </c>
      <c r="N120" s="479">
        <f t="shared" si="9"/>
        <v>0</v>
      </c>
      <c r="O120" s="480"/>
    </row>
    <row r="121" spans="1:16" ht="13.5" customHeight="1" thickBot="1" x14ac:dyDescent="0.25">
      <c r="A121" s="416"/>
      <c r="B121" s="472"/>
      <c r="C121" s="436" t="s">
        <v>163</v>
      </c>
      <c r="D121" s="436"/>
      <c r="E121" s="437"/>
      <c r="F121" s="379">
        <f>SUM(F101:G120)</f>
        <v>0</v>
      </c>
      <c r="G121" s="379"/>
      <c r="H121" s="379">
        <f>SUM(H101:I120)</f>
        <v>0</v>
      </c>
      <c r="I121" s="379"/>
      <c r="J121" s="334">
        <f>SUM(J101:J120)</f>
        <v>0</v>
      </c>
      <c r="K121" s="247">
        <f>SUM(K101:K120)</f>
        <v>0</v>
      </c>
      <c r="L121" s="335">
        <f>SUM(L101:L120)</f>
        <v>0</v>
      </c>
      <c r="M121" s="336">
        <f>SUM(M101:M120)</f>
        <v>0</v>
      </c>
      <c r="N121" s="248"/>
      <c r="O121" s="249"/>
    </row>
    <row r="122" spans="1:16" ht="18" hidden="1" customHeight="1" thickBot="1" x14ac:dyDescent="0.25">
      <c r="A122" s="574"/>
      <c r="B122" s="574"/>
      <c r="C122" s="574"/>
      <c r="D122" s="574"/>
      <c r="E122" s="574"/>
      <c r="F122" s="574"/>
      <c r="G122" s="574"/>
      <c r="H122" s="574"/>
      <c r="I122" s="574"/>
      <c r="J122" s="574"/>
      <c r="K122" s="574"/>
      <c r="L122" s="574"/>
      <c r="M122" s="574"/>
      <c r="N122" s="540"/>
      <c r="O122" s="540"/>
      <c r="P122" s="31"/>
    </row>
    <row r="123" spans="1:16" ht="18" hidden="1" customHeight="1" x14ac:dyDescent="0.2">
      <c r="A123" s="124"/>
      <c r="B123" s="218"/>
      <c r="C123" s="218"/>
      <c r="D123" s="218"/>
      <c r="E123" s="218"/>
      <c r="F123" s="219" t="s">
        <v>164</v>
      </c>
      <c r="G123" s="218">
        <f>IF(MONTH(L5)&lt;9,YEAR(L5),YEAR(L5)+1)</f>
        <v>2033</v>
      </c>
      <c r="H123" s="218"/>
      <c r="I123" s="219" t="s">
        <v>165</v>
      </c>
      <c r="J123" s="219" t="s">
        <v>166</v>
      </c>
      <c r="K123" s="219" t="s">
        <v>167</v>
      </c>
      <c r="L123" s="124"/>
      <c r="M123" s="124"/>
      <c r="N123" s="124"/>
      <c r="O123" s="124"/>
      <c r="P123" s="31"/>
    </row>
    <row r="124" spans="1:16" ht="18" hidden="1" customHeight="1" x14ac:dyDescent="0.2">
      <c r="A124" s="124"/>
      <c r="B124" s="218"/>
      <c r="C124" s="218"/>
      <c r="D124" s="218"/>
      <c r="E124" s="218"/>
      <c r="F124" s="218"/>
      <c r="G124" s="218"/>
      <c r="H124" s="218"/>
      <c r="I124" s="218">
        <v>2018</v>
      </c>
      <c r="J124" s="218">
        <v>0.47</v>
      </c>
      <c r="K124" s="220">
        <f>DATE(I124,8,31)</f>
        <v>43343</v>
      </c>
      <c r="L124" s="124"/>
      <c r="M124" s="124"/>
      <c r="N124" s="124"/>
      <c r="O124" s="124"/>
      <c r="P124" s="31"/>
    </row>
    <row r="125" spans="1:16" ht="18" hidden="1" customHeight="1" x14ac:dyDescent="0.2">
      <c r="A125" s="124"/>
      <c r="B125" s="218"/>
      <c r="C125" s="218"/>
      <c r="D125" s="218"/>
      <c r="E125" s="218"/>
      <c r="F125" s="218"/>
      <c r="G125" s="218"/>
      <c r="H125" s="218"/>
      <c r="I125" s="218">
        <v>2019</v>
      </c>
      <c r="J125" s="218">
        <v>0.49</v>
      </c>
      <c r="K125" s="220">
        <f t="shared" ref="K125:K142" si="11">DATE(I125,8,31)</f>
        <v>43708</v>
      </c>
      <c r="L125" s="124"/>
      <c r="M125" s="124"/>
      <c r="N125" s="124"/>
      <c r="O125" s="124"/>
      <c r="P125" s="31"/>
    </row>
    <row r="126" spans="1:16" ht="18" hidden="1" customHeight="1" x14ac:dyDescent="0.2">
      <c r="A126" s="124"/>
      <c r="B126" s="218"/>
      <c r="C126" s="218"/>
      <c r="D126" s="218"/>
      <c r="E126" s="218"/>
      <c r="F126" s="218"/>
      <c r="G126" s="218"/>
      <c r="H126" s="218"/>
      <c r="I126" s="218">
        <v>2020</v>
      </c>
      <c r="J126" s="218">
        <v>0.495</v>
      </c>
      <c r="K126" s="220">
        <f t="shared" si="11"/>
        <v>44074</v>
      </c>
      <c r="L126" s="124"/>
      <c r="M126" s="124"/>
      <c r="N126" s="124"/>
      <c r="O126" s="124"/>
      <c r="P126" s="31"/>
    </row>
    <row r="127" spans="1:16" ht="18" hidden="1" customHeight="1" x14ac:dyDescent="0.2">
      <c r="A127" s="124"/>
      <c r="B127" s="218"/>
      <c r="C127" s="218"/>
      <c r="D127" s="218"/>
      <c r="E127" s="218"/>
      <c r="F127" s="218"/>
      <c r="G127" s="218"/>
      <c r="H127" s="218"/>
      <c r="I127" s="218">
        <v>2021</v>
      </c>
      <c r="J127" s="218">
        <v>0.5</v>
      </c>
      <c r="K127" s="220">
        <f t="shared" si="11"/>
        <v>44439</v>
      </c>
      <c r="L127" s="124"/>
      <c r="M127" s="124"/>
      <c r="N127" s="124"/>
      <c r="O127" s="124"/>
      <c r="P127" s="31"/>
    </row>
    <row r="128" spans="1:16" ht="18" hidden="1" customHeight="1" x14ac:dyDescent="0.2">
      <c r="A128" s="124"/>
      <c r="B128" s="218"/>
      <c r="C128" s="218"/>
      <c r="D128" s="218"/>
      <c r="E128" s="218"/>
      <c r="F128" s="218"/>
      <c r="G128" s="218"/>
      <c r="H128" s="218"/>
      <c r="I128" s="218">
        <v>2022</v>
      </c>
      <c r="J128" s="218">
        <v>0.5</v>
      </c>
      <c r="K128" s="220">
        <f t="shared" si="11"/>
        <v>44804</v>
      </c>
      <c r="L128" s="124"/>
      <c r="M128" s="124"/>
      <c r="N128" s="124"/>
      <c r="O128" s="124"/>
      <c r="P128" s="31"/>
    </row>
    <row r="129" spans="1:17" ht="18" hidden="1" customHeight="1" x14ac:dyDescent="0.2">
      <c r="A129" s="124"/>
      <c r="B129" s="218"/>
      <c r="C129" s="218"/>
      <c r="D129" s="218"/>
      <c r="E129" s="218"/>
      <c r="F129" s="218"/>
      <c r="G129" s="218"/>
      <c r="H129" s="218"/>
      <c r="I129" s="218">
        <v>2023</v>
      </c>
      <c r="J129" s="218">
        <v>0.5</v>
      </c>
      <c r="K129" s="220">
        <f t="shared" si="11"/>
        <v>45169</v>
      </c>
      <c r="L129" s="124"/>
      <c r="M129" s="124"/>
      <c r="N129" s="124"/>
      <c r="O129" s="124"/>
      <c r="P129" s="31"/>
    </row>
    <row r="130" spans="1:17" ht="18" hidden="1" customHeight="1" x14ac:dyDescent="0.2">
      <c r="A130" s="124"/>
      <c r="B130" s="218"/>
      <c r="C130" s="218"/>
      <c r="D130" s="218"/>
      <c r="E130" s="218"/>
      <c r="F130" s="218"/>
      <c r="G130" s="218"/>
      <c r="H130" s="218"/>
      <c r="I130" s="218">
        <v>2024</v>
      </c>
      <c r="J130" s="218">
        <v>0.5</v>
      </c>
      <c r="K130" s="220">
        <f t="shared" si="11"/>
        <v>45535</v>
      </c>
      <c r="L130" s="124"/>
      <c r="M130" s="124"/>
      <c r="N130" s="124"/>
      <c r="O130" s="124"/>
      <c r="P130" s="31"/>
    </row>
    <row r="131" spans="1:17" ht="18" hidden="1" customHeight="1" x14ac:dyDescent="0.2">
      <c r="A131" s="124"/>
      <c r="B131" s="218"/>
      <c r="C131" s="218"/>
      <c r="D131" s="218"/>
      <c r="E131" s="218"/>
      <c r="F131" s="218"/>
      <c r="G131" s="218"/>
      <c r="H131" s="218"/>
      <c r="I131" s="218">
        <v>2025</v>
      </c>
      <c r="J131" s="218">
        <v>0.5</v>
      </c>
      <c r="K131" s="220">
        <f t="shared" si="11"/>
        <v>45900</v>
      </c>
      <c r="L131" s="124"/>
      <c r="M131" s="124"/>
      <c r="N131" s="124"/>
      <c r="O131" s="124"/>
      <c r="P131" s="31"/>
    </row>
    <row r="132" spans="1:17" ht="18" hidden="1" customHeight="1" x14ac:dyDescent="0.2">
      <c r="A132" s="124"/>
      <c r="B132" s="218"/>
      <c r="C132" s="218"/>
      <c r="D132" s="218"/>
      <c r="E132" s="218"/>
      <c r="F132" s="218"/>
      <c r="G132" s="218"/>
      <c r="H132" s="218"/>
      <c r="I132" s="218">
        <v>2026</v>
      </c>
      <c r="J132" s="218">
        <v>0.5</v>
      </c>
      <c r="K132" s="220">
        <f t="shared" si="11"/>
        <v>46265</v>
      </c>
      <c r="L132" s="124"/>
      <c r="M132" s="124"/>
      <c r="N132" s="124"/>
      <c r="O132" s="124"/>
      <c r="P132" s="31"/>
    </row>
    <row r="133" spans="1:17" ht="18" hidden="1" customHeight="1" x14ac:dyDescent="0.2">
      <c r="A133" s="124"/>
      <c r="B133" s="218"/>
      <c r="C133" s="218"/>
      <c r="D133" s="218"/>
      <c r="E133" s="218"/>
      <c r="F133" s="218"/>
      <c r="G133" s="218"/>
      <c r="H133" s="218"/>
      <c r="I133" s="218">
        <v>2027</v>
      </c>
      <c r="J133" s="218">
        <v>0.5</v>
      </c>
      <c r="K133" s="220">
        <f t="shared" si="11"/>
        <v>46630</v>
      </c>
      <c r="L133" s="124"/>
      <c r="M133" s="124"/>
      <c r="N133" s="124"/>
      <c r="O133" s="124"/>
      <c r="P133" s="31"/>
    </row>
    <row r="134" spans="1:17" ht="18" hidden="1" customHeight="1" x14ac:dyDescent="0.2">
      <c r="A134" s="124"/>
      <c r="B134" s="218"/>
      <c r="C134" s="218"/>
      <c r="D134" s="218"/>
      <c r="E134" s="218"/>
      <c r="F134" s="218"/>
      <c r="G134" s="218"/>
      <c r="H134" s="218"/>
      <c r="I134" s="218">
        <v>2028</v>
      </c>
      <c r="J134" s="218">
        <v>0.5</v>
      </c>
      <c r="K134" s="220">
        <f t="shared" si="11"/>
        <v>46996</v>
      </c>
      <c r="L134" s="124"/>
      <c r="M134" s="124"/>
      <c r="N134" s="124"/>
      <c r="O134" s="124"/>
      <c r="P134" s="31"/>
    </row>
    <row r="135" spans="1:17" ht="18" hidden="1" customHeight="1" x14ac:dyDescent="0.2">
      <c r="A135" s="124"/>
      <c r="B135" s="218"/>
      <c r="C135" s="218"/>
      <c r="D135" s="218"/>
      <c r="E135" s="218"/>
      <c r="F135" s="218"/>
      <c r="G135" s="218"/>
      <c r="H135" s="218"/>
      <c r="I135" s="218">
        <v>2029</v>
      </c>
      <c r="J135" s="218">
        <v>0.5</v>
      </c>
      <c r="K135" s="220">
        <f t="shared" si="11"/>
        <v>47361</v>
      </c>
      <c r="L135" s="124"/>
      <c r="M135" s="124"/>
      <c r="N135" s="124"/>
      <c r="O135" s="124"/>
      <c r="P135" s="31"/>
    </row>
    <row r="136" spans="1:17" ht="18" hidden="1" customHeight="1" x14ac:dyDescent="0.2">
      <c r="A136" s="124"/>
      <c r="B136" s="218"/>
      <c r="C136" s="218"/>
      <c r="D136" s="218"/>
      <c r="E136" s="218"/>
      <c r="F136" s="218"/>
      <c r="G136" s="218"/>
      <c r="H136" s="218"/>
      <c r="I136" s="218">
        <v>2030</v>
      </c>
      <c r="J136" s="218">
        <v>0.5</v>
      </c>
      <c r="K136" s="220">
        <f t="shared" si="11"/>
        <v>47726</v>
      </c>
      <c r="L136" s="124"/>
      <c r="M136" s="124"/>
      <c r="N136" s="124"/>
      <c r="O136" s="124"/>
      <c r="P136" s="31"/>
    </row>
    <row r="137" spans="1:17" ht="18" hidden="1" customHeight="1" x14ac:dyDescent="0.2">
      <c r="A137" s="124"/>
      <c r="B137" s="218"/>
      <c r="C137" s="218"/>
      <c r="D137" s="218"/>
      <c r="E137" s="218"/>
      <c r="F137" s="218"/>
      <c r="G137" s="218"/>
      <c r="H137" s="218"/>
      <c r="I137" s="218">
        <v>2031</v>
      </c>
      <c r="J137" s="218">
        <v>0.5</v>
      </c>
      <c r="K137" s="220">
        <f t="shared" si="11"/>
        <v>48091</v>
      </c>
      <c r="L137" s="124"/>
      <c r="M137" s="124"/>
      <c r="N137" s="124"/>
      <c r="O137" s="124"/>
      <c r="P137" s="31"/>
    </row>
    <row r="138" spans="1:17" ht="18" hidden="1" customHeight="1" x14ac:dyDescent="0.2">
      <c r="A138" s="124"/>
      <c r="B138" s="218"/>
      <c r="C138" s="218"/>
      <c r="D138" s="218"/>
      <c r="E138" s="218"/>
      <c r="F138" s="218"/>
      <c r="G138" s="218"/>
      <c r="H138" s="218"/>
      <c r="I138" s="218">
        <v>2032</v>
      </c>
      <c r="J138" s="218">
        <v>0.5</v>
      </c>
      <c r="K138" s="220">
        <f t="shared" si="11"/>
        <v>48457</v>
      </c>
      <c r="L138" s="124"/>
      <c r="M138" s="124"/>
      <c r="N138" s="124"/>
      <c r="O138" s="124"/>
      <c r="P138" s="31"/>
    </row>
    <row r="139" spans="1:17" ht="18" hidden="1" customHeight="1" x14ac:dyDescent="0.2">
      <c r="A139" s="124"/>
      <c r="B139" s="218"/>
      <c r="C139" s="218"/>
      <c r="D139" s="218"/>
      <c r="E139" s="218"/>
      <c r="F139" s="218"/>
      <c r="G139" s="218"/>
      <c r="H139" s="218"/>
      <c r="I139" s="218">
        <v>2033</v>
      </c>
      <c r="J139" s="218">
        <v>0.5</v>
      </c>
      <c r="K139" s="220">
        <f t="shared" si="11"/>
        <v>48822</v>
      </c>
      <c r="L139" s="124"/>
      <c r="M139" s="124"/>
      <c r="N139" s="124"/>
      <c r="O139" s="124"/>
      <c r="P139" s="31"/>
    </row>
    <row r="140" spans="1:17" ht="18" hidden="1" customHeight="1" x14ac:dyDescent="0.2">
      <c r="A140" s="124"/>
      <c r="B140" s="218"/>
      <c r="C140" s="218"/>
      <c r="D140" s="218"/>
      <c r="E140" s="218"/>
      <c r="F140" s="218"/>
      <c r="G140" s="218"/>
      <c r="H140" s="218"/>
      <c r="I140" s="218">
        <v>2034</v>
      </c>
      <c r="J140" s="218">
        <v>0.5</v>
      </c>
      <c r="K140" s="220">
        <f t="shared" si="11"/>
        <v>49187</v>
      </c>
      <c r="L140" s="124"/>
      <c r="M140" s="124"/>
      <c r="N140" s="124"/>
      <c r="O140" s="124"/>
      <c r="P140" s="31"/>
    </row>
    <row r="141" spans="1:17" ht="18" hidden="1" customHeight="1" x14ac:dyDescent="0.2">
      <c r="A141" s="124"/>
      <c r="B141" s="218"/>
      <c r="C141" s="218"/>
      <c r="D141" s="218"/>
      <c r="E141" s="218"/>
      <c r="F141" s="218"/>
      <c r="G141" s="218"/>
      <c r="H141" s="218"/>
      <c r="I141" s="218">
        <v>2035</v>
      </c>
      <c r="J141" s="218">
        <v>0.5</v>
      </c>
      <c r="K141" s="220">
        <f t="shared" si="11"/>
        <v>49552</v>
      </c>
      <c r="L141" s="124"/>
      <c r="M141" s="124"/>
      <c r="N141" s="124"/>
      <c r="O141" s="124"/>
      <c r="P141" s="31"/>
    </row>
    <row r="142" spans="1:17" ht="18" hidden="1" customHeight="1" x14ac:dyDescent="0.2">
      <c r="A142" s="124"/>
      <c r="B142" s="218"/>
      <c r="C142" s="218"/>
      <c r="D142" s="218"/>
      <c r="E142" s="218"/>
      <c r="F142" s="218"/>
      <c r="G142" s="218"/>
      <c r="H142" s="218"/>
      <c r="I142" s="218">
        <v>2036</v>
      </c>
      <c r="J142" s="218">
        <v>0.5</v>
      </c>
      <c r="K142" s="220">
        <f t="shared" si="11"/>
        <v>49918</v>
      </c>
      <c r="L142" s="124"/>
      <c r="M142" s="124"/>
      <c r="N142" s="124"/>
      <c r="O142" s="124"/>
      <c r="P142" s="31"/>
    </row>
    <row r="143" spans="1:17" ht="18" customHeight="1" thickBot="1" x14ac:dyDescent="0.25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31"/>
    </row>
    <row r="144" spans="1:17" ht="13.5" customHeight="1" x14ac:dyDescent="0.2">
      <c r="A144" s="414" t="s">
        <v>168</v>
      </c>
      <c r="B144" s="534" t="s">
        <v>169</v>
      </c>
      <c r="C144" s="535"/>
      <c r="D144" s="535"/>
      <c r="E144" s="535"/>
      <c r="F144" s="536"/>
      <c r="G144" s="427" t="s">
        <v>170</v>
      </c>
      <c r="H144" s="428"/>
      <c r="I144" s="428"/>
      <c r="J144" s="428"/>
      <c r="K144" s="429"/>
      <c r="L144" s="464" t="s">
        <v>171</v>
      </c>
      <c r="M144" s="465"/>
      <c r="N144" s="466"/>
      <c r="O144" s="337">
        <f>O155-H121</f>
        <v>0</v>
      </c>
      <c r="P144" s="150"/>
      <c r="Q144" s="1" t="s">
        <v>172</v>
      </c>
    </row>
    <row r="145" spans="1:17" ht="13.5" customHeight="1" x14ac:dyDescent="0.2">
      <c r="A145" s="415"/>
      <c r="B145" s="537"/>
      <c r="C145" s="538"/>
      <c r="D145" s="538"/>
      <c r="E145" s="538"/>
      <c r="F145" s="539"/>
      <c r="G145" s="430"/>
      <c r="H145" s="431"/>
      <c r="I145" s="431"/>
      <c r="J145" s="431"/>
      <c r="K145" s="432"/>
      <c r="L145" s="476" t="s">
        <v>173</v>
      </c>
      <c r="M145" s="477"/>
      <c r="N145" s="478"/>
      <c r="O145" s="338">
        <f>H121</f>
        <v>0</v>
      </c>
      <c r="P145" s="150"/>
    </row>
    <row r="146" spans="1:17" ht="13.5" customHeight="1" x14ac:dyDescent="0.2">
      <c r="A146" s="415"/>
      <c r="B146" s="369" t="s">
        <v>174</v>
      </c>
      <c r="C146" s="370"/>
      <c r="D146" s="370"/>
      <c r="E146" s="370"/>
      <c r="F146" s="371"/>
      <c r="G146" s="430"/>
      <c r="H146" s="431"/>
      <c r="I146" s="431"/>
      <c r="J146" s="431"/>
      <c r="K146" s="432"/>
      <c r="L146" s="376" t="s">
        <v>175</v>
      </c>
      <c r="M146" s="377"/>
      <c r="N146" s="378"/>
      <c r="O146" s="339">
        <f>O155-O87-O83-O92-O99+K121</f>
        <v>0</v>
      </c>
      <c r="P146" s="150"/>
      <c r="Q146" s="225" t="s">
        <v>176</v>
      </c>
    </row>
    <row r="147" spans="1:17" ht="13.5" customHeight="1" x14ac:dyDescent="0.3">
      <c r="A147" s="415"/>
      <c r="B147" s="226"/>
      <c r="C147" s="118" t="s">
        <v>177</v>
      </c>
      <c r="D147" s="118"/>
      <c r="E147" s="118"/>
      <c r="F147" s="227">
        <v>0.5</v>
      </c>
      <c r="G147" s="430"/>
      <c r="H147" s="431"/>
      <c r="I147" s="431"/>
      <c r="J147" s="431"/>
      <c r="K147" s="432"/>
      <c r="L147" s="153" t="s">
        <v>178</v>
      </c>
      <c r="M147" s="113">
        <f>VLOOKUP($G$123,$I$124:$J$142,2,FALSE)</f>
        <v>0.5</v>
      </c>
      <c r="N147" s="250" t="s">
        <v>179</v>
      </c>
      <c r="O147" s="340">
        <f>IF($L$7-VLOOKUP($G$123,$I$124:$K$142,3,FALSE)&lt;0,$O$146,ROUND((1-($L$7-VLOOKUP($G$123,$I$124:$K$142,3,FALSE))/($L$7+1-$L$5))*$O$146,0))</f>
        <v>0</v>
      </c>
      <c r="P147" s="33"/>
      <c r="Q147" s="108"/>
    </row>
    <row r="148" spans="1:17" ht="13.5" customHeight="1" x14ac:dyDescent="0.3">
      <c r="A148" s="415"/>
      <c r="B148" s="226"/>
      <c r="C148" s="118" t="s">
        <v>180</v>
      </c>
      <c r="D148" s="118"/>
      <c r="E148" s="118"/>
      <c r="F148" s="227">
        <v>0.5</v>
      </c>
      <c r="G148" s="430"/>
      <c r="H148" s="431"/>
      <c r="I148" s="431"/>
      <c r="J148" s="431"/>
      <c r="K148" s="432"/>
      <c r="L148" s="154" t="s">
        <v>181</v>
      </c>
      <c r="M148" s="113">
        <f>VLOOKUP($G$123+1,$I$124:$J$142,2,FALSE)</f>
        <v>0.5</v>
      </c>
      <c r="N148" s="250" t="s">
        <v>182</v>
      </c>
      <c r="O148" s="340">
        <f>O146-O147</f>
        <v>0</v>
      </c>
      <c r="P148" s="33"/>
    </row>
    <row r="149" spans="1:17" ht="13.5" customHeight="1" x14ac:dyDescent="0.3">
      <c r="A149" s="415"/>
      <c r="B149" s="226"/>
      <c r="C149" s="118" t="s">
        <v>183</v>
      </c>
      <c r="D149" s="118"/>
      <c r="E149" s="118"/>
      <c r="F149" s="227">
        <v>0.36</v>
      </c>
      <c r="G149" s="430"/>
      <c r="H149" s="431"/>
      <c r="I149" s="431"/>
      <c r="J149" s="431"/>
      <c r="K149" s="432"/>
      <c r="L149" s="528" t="s">
        <v>184</v>
      </c>
      <c r="M149" s="529"/>
      <c r="N149" s="530"/>
      <c r="O149" s="341">
        <f>ROUND(M147*O147,0)</f>
        <v>0</v>
      </c>
      <c r="P149" s="33"/>
    </row>
    <row r="150" spans="1:17" ht="13.5" customHeight="1" x14ac:dyDescent="0.3">
      <c r="A150" s="415"/>
      <c r="B150" s="228"/>
      <c r="C150" s="229"/>
      <c r="D150" s="229"/>
      <c r="E150" s="229"/>
      <c r="F150" s="230"/>
      <c r="G150" s="433"/>
      <c r="H150" s="434"/>
      <c r="I150" s="434"/>
      <c r="J150" s="434"/>
      <c r="K150" s="435"/>
      <c r="L150" s="554" t="s">
        <v>185</v>
      </c>
      <c r="M150" s="555"/>
      <c r="N150" s="556"/>
      <c r="O150" s="342">
        <f>ROUND(M148*O148,0)</f>
        <v>0</v>
      </c>
      <c r="P150" s="33"/>
    </row>
    <row r="151" spans="1:17" ht="13.5" customHeight="1" x14ac:dyDescent="0.2">
      <c r="A151" s="415"/>
      <c r="B151" s="369" t="s">
        <v>186</v>
      </c>
      <c r="C151" s="370"/>
      <c r="D151" s="370"/>
      <c r="E151" s="370"/>
      <c r="F151" s="371"/>
      <c r="G151" s="545" t="s">
        <v>187</v>
      </c>
      <c r="H151" s="546"/>
      <c r="I151" s="546"/>
      <c r="J151" s="546"/>
      <c r="K151" s="546"/>
      <c r="L151" s="546"/>
      <c r="M151" s="546"/>
      <c r="N151" s="546"/>
      <c r="O151" s="547"/>
      <c r="P151" s="155"/>
    </row>
    <row r="152" spans="1:17" ht="13.5" customHeight="1" x14ac:dyDescent="0.2">
      <c r="A152" s="415"/>
      <c r="B152" s="226"/>
      <c r="C152" s="118" t="s">
        <v>188</v>
      </c>
      <c r="D152" s="118"/>
      <c r="E152" s="118"/>
      <c r="F152" s="227">
        <v>0.26</v>
      </c>
      <c r="G152" s="548"/>
      <c r="H152" s="549"/>
      <c r="I152" s="549"/>
      <c r="J152" s="549"/>
      <c r="K152" s="549"/>
      <c r="L152" s="549"/>
      <c r="M152" s="549"/>
      <c r="N152" s="549"/>
      <c r="O152" s="550"/>
      <c r="P152" s="155"/>
    </row>
    <row r="153" spans="1:17" ht="14.25" customHeight="1" thickBot="1" x14ac:dyDescent="0.25">
      <c r="A153" s="416"/>
      <c r="B153" s="226"/>
      <c r="C153" s="118"/>
      <c r="D153" s="118"/>
      <c r="E153" s="118"/>
      <c r="F153" s="227"/>
      <c r="G153" s="551"/>
      <c r="H153" s="552"/>
      <c r="I153" s="552"/>
      <c r="J153" s="552"/>
      <c r="K153" s="552"/>
      <c r="L153" s="552"/>
      <c r="M153" s="552"/>
      <c r="N153" s="552"/>
      <c r="O153" s="553"/>
      <c r="P153" s="155"/>
    </row>
    <row r="154" spans="1:17" ht="18" customHeight="1" thickBot="1" x14ac:dyDescent="0.25">
      <c r="A154" s="417"/>
      <c r="B154" s="417"/>
      <c r="C154" s="417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31"/>
    </row>
    <row r="155" spans="1:17" ht="17.100000000000001" customHeight="1" x14ac:dyDescent="0.25">
      <c r="A155" s="398" t="s">
        <v>189</v>
      </c>
      <c r="B155" s="399"/>
      <c r="C155" s="404" t="s">
        <v>190</v>
      </c>
      <c r="D155" s="405"/>
      <c r="E155" s="405"/>
      <c r="F155" s="410"/>
      <c r="G155" s="411"/>
      <c r="H155" s="17"/>
      <c r="I155" s="414" t="s">
        <v>191</v>
      </c>
      <c r="J155" s="438" t="str">
        <f>K3</f>
        <v>Period 9</v>
      </c>
      <c r="K155" s="453" t="s">
        <v>192</v>
      </c>
      <c r="L155" s="454"/>
      <c r="M155" s="454"/>
      <c r="N155" s="455"/>
      <c r="O155" s="343">
        <f>O37+O83+O66+O87+O69+O99+O92</f>
        <v>0</v>
      </c>
      <c r="P155" s="156"/>
    </row>
    <row r="156" spans="1:17" ht="17.100000000000001" customHeight="1" x14ac:dyDescent="0.25">
      <c r="A156" s="400"/>
      <c r="B156" s="401"/>
      <c r="C156" s="407"/>
      <c r="D156" s="408"/>
      <c r="E156" s="408"/>
      <c r="F156" s="412"/>
      <c r="G156" s="413"/>
      <c r="H156" s="17"/>
      <c r="I156" s="415"/>
      <c r="J156" s="439"/>
      <c r="K156" s="444" t="s">
        <v>193</v>
      </c>
      <c r="L156" s="445"/>
      <c r="M156" s="445"/>
      <c r="N156" s="446"/>
      <c r="O156" s="344">
        <f>O149+O150</f>
        <v>0</v>
      </c>
      <c r="P156" s="156"/>
      <c r="Q156" s="23"/>
    </row>
    <row r="157" spans="1:17" ht="17.100000000000001" customHeight="1" thickBot="1" x14ac:dyDescent="0.3">
      <c r="A157" s="402"/>
      <c r="B157" s="403"/>
      <c r="C157" s="441" t="s">
        <v>194</v>
      </c>
      <c r="D157" s="442"/>
      <c r="E157" s="443"/>
      <c r="F157" s="394" t="str">
        <f>IF(O158&lt;&gt;0,F155/O158,"-")</f>
        <v>-</v>
      </c>
      <c r="G157" s="395"/>
      <c r="H157" s="17"/>
      <c r="I157" s="415"/>
      <c r="J157" s="439"/>
      <c r="K157" s="447" t="s">
        <v>195</v>
      </c>
      <c r="L157" s="448"/>
      <c r="M157" s="448"/>
      <c r="N157" s="449"/>
      <c r="O157" s="345">
        <f>O155+O156</f>
        <v>0</v>
      </c>
      <c r="P157" s="156"/>
    </row>
    <row r="158" spans="1:17" ht="17.100000000000001" customHeight="1" thickBot="1" x14ac:dyDescent="0.3">
      <c r="A158" s="396"/>
      <c r="B158" s="396"/>
      <c r="C158" s="396"/>
      <c r="D158" s="396"/>
      <c r="E158" s="396"/>
      <c r="F158" s="396"/>
      <c r="G158" s="396"/>
      <c r="H158" s="397"/>
      <c r="I158" s="416"/>
      <c r="J158" s="440"/>
      <c r="K158" s="450" t="s">
        <v>196</v>
      </c>
      <c r="L158" s="451"/>
      <c r="M158" s="451"/>
      <c r="N158" s="452"/>
      <c r="O158" s="346">
        <f>O157+F155</f>
        <v>0</v>
      </c>
      <c r="P158" s="156"/>
    </row>
    <row r="166" spans="17:17" x14ac:dyDescent="0.2">
      <c r="Q166" s="23"/>
    </row>
  </sheetData>
  <sheetProtection algorithmName="SHA-512" hashValue="jzVcL9VTtTsQe5cDP2I5RSsSbWXhy59795HLVolGzAGh11H7dqVadsukX3uE3291wyk3S1cZ1zTzzbEpTgteDA==" saltValue="loydgUuPT7xkWXFn55WOkg==" spinCount="100000" sheet="1" formatRows="0" insertRows="0"/>
  <mergeCells count="224">
    <mergeCell ref="A154:O154"/>
    <mergeCell ref="A155:B157"/>
    <mergeCell ref="C155:E156"/>
    <mergeCell ref="F155:G156"/>
    <mergeCell ref="I155:I158"/>
    <mergeCell ref="J155:J158"/>
    <mergeCell ref="C157:E157"/>
    <mergeCell ref="F157:G157"/>
    <mergeCell ref="K157:N157"/>
    <mergeCell ref="A158:H158"/>
    <mergeCell ref="K158:N158"/>
    <mergeCell ref="A5:C6"/>
    <mergeCell ref="D5:F6"/>
    <mergeCell ref="K5:K6"/>
    <mergeCell ref="L5:L6"/>
    <mergeCell ref="A7:C10"/>
    <mergeCell ref="D7:F10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A36:O36"/>
    <mergeCell ref="A37:A81"/>
    <mergeCell ref="B38:C38"/>
    <mergeCell ref="G38:H38"/>
    <mergeCell ref="B39:C39"/>
    <mergeCell ref="G39:H39"/>
    <mergeCell ref="B40:C40"/>
    <mergeCell ref="G40:H40"/>
    <mergeCell ref="B41:C41"/>
    <mergeCell ref="B45:C45"/>
    <mergeCell ref="G45:H45"/>
    <mergeCell ref="B46:C46"/>
    <mergeCell ref="G46:H46"/>
    <mergeCell ref="B47:C47"/>
    <mergeCell ref="G47:H47"/>
    <mergeCell ref="G41:H41"/>
    <mergeCell ref="B42:C42"/>
    <mergeCell ref="G42:H42"/>
    <mergeCell ref="B43:C43"/>
    <mergeCell ref="G43:H43"/>
    <mergeCell ref="B44:C44"/>
    <mergeCell ref="G44:H44"/>
    <mergeCell ref="B51:C51"/>
    <mergeCell ref="G51:H51"/>
    <mergeCell ref="B52:C52"/>
    <mergeCell ref="G52:H52"/>
    <mergeCell ref="B53:C53"/>
    <mergeCell ref="G53:H53"/>
    <mergeCell ref="B48:C48"/>
    <mergeCell ref="G48:H48"/>
    <mergeCell ref="B49:C49"/>
    <mergeCell ref="G49:H49"/>
    <mergeCell ref="B50:C50"/>
    <mergeCell ref="G50:H50"/>
    <mergeCell ref="B57:C57"/>
    <mergeCell ref="G57:H57"/>
    <mergeCell ref="B58:C58"/>
    <mergeCell ref="G58:H58"/>
    <mergeCell ref="B59:C59"/>
    <mergeCell ref="G59:H59"/>
    <mergeCell ref="B54:C54"/>
    <mergeCell ref="G54:H54"/>
    <mergeCell ref="B55:C55"/>
    <mergeCell ref="G55:H55"/>
    <mergeCell ref="B56:C56"/>
    <mergeCell ref="G56:H56"/>
    <mergeCell ref="B63:C63"/>
    <mergeCell ref="G63:H63"/>
    <mergeCell ref="B64:C64"/>
    <mergeCell ref="G64:H64"/>
    <mergeCell ref="B65:C65"/>
    <mergeCell ref="G65:H65"/>
    <mergeCell ref="B60:C60"/>
    <mergeCell ref="G60:H60"/>
    <mergeCell ref="B61:C61"/>
    <mergeCell ref="G61:H61"/>
    <mergeCell ref="B62:C62"/>
    <mergeCell ref="G62:H62"/>
    <mergeCell ref="B70:N70"/>
    <mergeCell ref="B78:N78"/>
    <mergeCell ref="B79:N79"/>
    <mergeCell ref="B66:M66"/>
    <mergeCell ref="B67:N67"/>
    <mergeCell ref="B68:N68"/>
    <mergeCell ref="B69:M69"/>
    <mergeCell ref="B71:M71"/>
    <mergeCell ref="B72:M72"/>
    <mergeCell ref="B73:M73"/>
    <mergeCell ref="B74:M74"/>
    <mergeCell ref="B75:M75"/>
    <mergeCell ref="B76:M76"/>
    <mergeCell ref="B77:N77"/>
    <mergeCell ref="B89:N89"/>
    <mergeCell ref="B90:N90"/>
    <mergeCell ref="B91:N91"/>
    <mergeCell ref="B92:M92"/>
    <mergeCell ref="B93:N93"/>
    <mergeCell ref="B94:N94"/>
    <mergeCell ref="B80:N80"/>
    <mergeCell ref="B81:N81"/>
    <mergeCell ref="A82:O82"/>
    <mergeCell ref="A83:A97"/>
    <mergeCell ref="B83:M83"/>
    <mergeCell ref="B84:N84"/>
    <mergeCell ref="B85:N85"/>
    <mergeCell ref="B86:N86"/>
    <mergeCell ref="B87:M87"/>
    <mergeCell ref="B88:N88"/>
    <mergeCell ref="B95:N95"/>
    <mergeCell ref="B96:N96"/>
    <mergeCell ref="B97:N97"/>
    <mergeCell ref="B98:O98"/>
    <mergeCell ref="A99:A121"/>
    <mergeCell ref="B99:M99"/>
    <mergeCell ref="B100:B121"/>
    <mergeCell ref="C103:E103"/>
    <mergeCell ref="F103:G103"/>
    <mergeCell ref="H103:I103"/>
    <mergeCell ref="N103:O103"/>
    <mergeCell ref="C104:E104"/>
    <mergeCell ref="F104:G104"/>
    <mergeCell ref="H104:I104"/>
    <mergeCell ref="N104:O104"/>
    <mergeCell ref="C101:E101"/>
    <mergeCell ref="F101:G101"/>
    <mergeCell ref="H101:I101"/>
    <mergeCell ref="N101:O101"/>
    <mergeCell ref="C102:E102"/>
    <mergeCell ref="F102:G102"/>
    <mergeCell ref="H102:I102"/>
    <mergeCell ref="N102:O102"/>
    <mergeCell ref="C107:E107"/>
    <mergeCell ref="F107:G107"/>
    <mergeCell ref="H107:I107"/>
    <mergeCell ref="N107:O107"/>
    <mergeCell ref="C108:E108"/>
    <mergeCell ref="F108:G108"/>
    <mergeCell ref="H108:I108"/>
    <mergeCell ref="N108:O108"/>
    <mergeCell ref="C105:E105"/>
    <mergeCell ref="F105:G105"/>
    <mergeCell ref="H105:I105"/>
    <mergeCell ref="N105:O105"/>
    <mergeCell ref="C106:E106"/>
    <mergeCell ref="F106:G106"/>
    <mergeCell ref="H106:I106"/>
    <mergeCell ref="N106:O106"/>
    <mergeCell ref="C111:E111"/>
    <mergeCell ref="F111:G111"/>
    <mergeCell ref="H111:I111"/>
    <mergeCell ref="N111:O111"/>
    <mergeCell ref="C112:E112"/>
    <mergeCell ref="F112:G112"/>
    <mergeCell ref="H112:I112"/>
    <mergeCell ref="N112:O112"/>
    <mergeCell ref="C109:E109"/>
    <mergeCell ref="F109:G109"/>
    <mergeCell ref="H109:I109"/>
    <mergeCell ref="N109:O109"/>
    <mergeCell ref="C110:E110"/>
    <mergeCell ref="F110:G110"/>
    <mergeCell ref="H110:I110"/>
    <mergeCell ref="N110:O110"/>
    <mergeCell ref="C115:E115"/>
    <mergeCell ref="F115:G115"/>
    <mergeCell ref="H115:I115"/>
    <mergeCell ref="N115:O115"/>
    <mergeCell ref="C116:E116"/>
    <mergeCell ref="F116:G116"/>
    <mergeCell ref="H116:I116"/>
    <mergeCell ref="N116:O116"/>
    <mergeCell ref="C113:E113"/>
    <mergeCell ref="F113:G113"/>
    <mergeCell ref="H113:I113"/>
    <mergeCell ref="N113:O113"/>
    <mergeCell ref="C114:E114"/>
    <mergeCell ref="F114:G114"/>
    <mergeCell ref="H114:I114"/>
    <mergeCell ref="N114:O114"/>
    <mergeCell ref="F119:G119"/>
    <mergeCell ref="H119:I119"/>
    <mergeCell ref="N119:O119"/>
    <mergeCell ref="C120:E120"/>
    <mergeCell ref="F120:G120"/>
    <mergeCell ref="H120:I120"/>
    <mergeCell ref="N120:O120"/>
    <mergeCell ref="C117:E117"/>
    <mergeCell ref="F117:G117"/>
    <mergeCell ref="H117:I117"/>
    <mergeCell ref="N117:O117"/>
    <mergeCell ref="C118:E118"/>
    <mergeCell ref="F118:G118"/>
    <mergeCell ref="H118:I118"/>
    <mergeCell ref="N118:O118"/>
    <mergeCell ref="F100:G100"/>
    <mergeCell ref="H100:I100"/>
    <mergeCell ref="N100:O100"/>
    <mergeCell ref="B146:F146"/>
    <mergeCell ref="B151:F151"/>
    <mergeCell ref="B37:J37"/>
    <mergeCell ref="K37:L37"/>
    <mergeCell ref="K155:N155"/>
    <mergeCell ref="K156:N156"/>
    <mergeCell ref="L146:N146"/>
    <mergeCell ref="C121:E121"/>
    <mergeCell ref="F121:G121"/>
    <mergeCell ref="H121:I121"/>
    <mergeCell ref="A122:O122"/>
    <mergeCell ref="B144:F144"/>
    <mergeCell ref="L144:N144"/>
    <mergeCell ref="B145:F145"/>
    <mergeCell ref="L145:N145"/>
    <mergeCell ref="A144:A153"/>
    <mergeCell ref="G144:K150"/>
    <mergeCell ref="L149:N149"/>
    <mergeCell ref="L150:N150"/>
    <mergeCell ref="G151:O153"/>
    <mergeCell ref="C119:E119"/>
  </mergeCells>
  <conditionalFormatting sqref="J39:J65">
    <cfRule type="expression" dxfId="1" priority="1">
      <formula>E39&lt;&gt;"Hourly"</formula>
    </cfRule>
  </conditionalFormatting>
  <dataValidations count="2">
    <dataValidation type="list" allowBlank="1" showInputMessage="1" showErrorMessage="1" sqref="E39:E65" xr:uid="{00000000-0002-0000-0A00-000000000000}">
      <formula1>$B$12:$B$17</formula1>
    </dataValidation>
    <dataValidation type="list" allowBlank="1" showInputMessage="1" showErrorMessage="1" sqref="F39:F65" xr:uid="{00000000-0002-0000-0A00-000001000000}">
      <formula1>INDIRECT(E39)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66"/>
  <sheetViews>
    <sheetView topLeftCell="A74" zoomScaleNormal="100" zoomScalePageLayoutView="85" workbookViewId="0">
      <selection activeCell="B83" sqref="B83:M83"/>
    </sheetView>
  </sheetViews>
  <sheetFormatPr defaultColWidth="8.7109375" defaultRowHeight="12.75" x14ac:dyDescent="0.2"/>
  <cols>
    <col min="1" max="2" width="4.28515625" style="1" customWidth="1"/>
    <col min="3" max="3" width="23.7109375" style="1" customWidth="1"/>
    <col min="4" max="4" width="9.7109375" style="1" customWidth="1"/>
    <col min="5" max="5" width="14.7109375" style="1" customWidth="1"/>
    <col min="6" max="6" width="18.7109375" style="1" customWidth="1"/>
    <col min="7" max="7" width="6.42578125" style="1" customWidth="1"/>
    <col min="8" max="8" width="9" style="1" customWidth="1"/>
    <col min="9" max="9" width="8.7109375" style="1" customWidth="1"/>
    <col min="10" max="10" width="11.7109375" style="2" customWidth="1"/>
    <col min="11" max="11" width="13" style="2" customWidth="1"/>
    <col min="12" max="13" width="12.7109375" style="1" customWidth="1"/>
    <col min="14" max="14" width="18" style="1" customWidth="1"/>
    <col min="15" max="15" width="17.28515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7109375" style="1"/>
  </cols>
  <sheetData>
    <row r="1" spans="1:18" s="3" customFormat="1" ht="22.15" customHeight="1" x14ac:dyDescent="0.2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126"/>
    </row>
    <row r="2" spans="1:18" s="3" customFormat="1" ht="35.25" customHeight="1" thickBot="1" x14ac:dyDescent="0.3">
      <c r="A2" s="512" t="s">
        <v>60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127"/>
    </row>
    <row r="3" spans="1:18" s="3" customFormat="1" ht="12" customHeight="1" x14ac:dyDescent="0.25">
      <c r="A3" s="514" t="s">
        <v>62</v>
      </c>
      <c r="B3" s="515"/>
      <c r="C3" s="515"/>
      <c r="D3" s="456">
        <f>'Per9'!D3</f>
        <v>0</v>
      </c>
      <c r="E3" s="456"/>
      <c r="F3" s="456"/>
      <c r="G3" s="24"/>
      <c r="H3" s="122"/>
      <c r="I3" s="122"/>
      <c r="J3" s="122"/>
      <c r="K3" s="460" t="s">
        <v>210</v>
      </c>
      <c r="L3" s="461"/>
      <c r="M3" s="516" t="s">
        <v>201</v>
      </c>
      <c r="N3" s="517"/>
      <c r="O3" s="518"/>
      <c r="P3" s="28"/>
      <c r="Q3" s="14" t="s">
        <v>66</v>
      </c>
    </row>
    <row r="4" spans="1:18" ht="18.600000000000001" customHeight="1" thickBot="1" x14ac:dyDescent="0.3">
      <c r="A4" s="483"/>
      <c r="B4" s="484"/>
      <c r="C4" s="484"/>
      <c r="D4" s="457"/>
      <c r="E4" s="457"/>
      <c r="F4" s="457"/>
      <c r="G4" s="119"/>
      <c r="H4" s="123"/>
      <c r="I4" s="123"/>
      <c r="J4" s="123"/>
      <c r="K4" s="462"/>
      <c r="L4" s="463"/>
      <c r="M4" s="519" t="s">
        <v>65</v>
      </c>
      <c r="N4" s="520"/>
      <c r="O4" s="521"/>
      <c r="P4" s="128"/>
      <c r="Q4" s="255" t="s">
        <v>71</v>
      </c>
    </row>
    <row r="5" spans="1:18" ht="18" customHeight="1" thickBot="1" x14ac:dyDescent="0.3">
      <c r="A5" s="483" t="s">
        <v>67</v>
      </c>
      <c r="B5" s="484"/>
      <c r="C5" s="484"/>
      <c r="D5" s="458">
        <f>'Per9'!D5</f>
        <v>0</v>
      </c>
      <c r="E5" s="458"/>
      <c r="F5" s="458"/>
      <c r="G5" s="52"/>
      <c r="H5" s="53"/>
      <c r="I5" s="53"/>
      <c r="J5" s="35"/>
      <c r="K5" s="459" t="s">
        <v>68</v>
      </c>
      <c r="L5" s="568">
        <f>'Per9'!L7+1</f>
        <v>48823</v>
      </c>
      <c r="M5" s="129"/>
      <c r="N5" s="130" t="s">
        <v>69</v>
      </c>
      <c r="O5" s="131" t="s">
        <v>70</v>
      </c>
      <c r="P5" s="132"/>
      <c r="Q5" s="14" t="s">
        <v>73</v>
      </c>
      <c r="R5" s="133"/>
    </row>
    <row r="6" spans="1:18" ht="12" customHeight="1" thickTop="1" x14ac:dyDescent="0.25">
      <c r="A6" s="483"/>
      <c r="B6" s="484"/>
      <c r="C6" s="484"/>
      <c r="D6" s="457"/>
      <c r="E6" s="457"/>
      <c r="F6" s="457"/>
      <c r="G6" s="119"/>
      <c r="H6" s="53"/>
      <c r="I6" s="53"/>
      <c r="J6" s="35"/>
      <c r="K6" s="459"/>
      <c r="L6" s="569"/>
      <c r="M6" s="134" t="s">
        <v>72</v>
      </c>
      <c r="N6" s="356">
        <v>1453.34</v>
      </c>
      <c r="O6" s="357">
        <v>726.68</v>
      </c>
      <c r="P6" s="135"/>
      <c r="Q6" s="1" t="s">
        <v>77</v>
      </c>
    </row>
    <row r="7" spans="1:18" ht="12" customHeight="1" x14ac:dyDescent="0.25">
      <c r="A7" s="483" t="s">
        <v>198</v>
      </c>
      <c r="B7" s="484"/>
      <c r="C7" s="484"/>
      <c r="D7" s="575">
        <f>'Per9'!D7</f>
        <v>0</v>
      </c>
      <c r="E7" s="575"/>
      <c r="F7" s="575"/>
      <c r="G7" s="55"/>
      <c r="H7" s="54"/>
      <c r="I7" s="54"/>
      <c r="J7" s="35"/>
      <c r="K7" s="459" t="s">
        <v>75</v>
      </c>
      <c r="L7" s="570">
        <f>EDATE(L5,12)-1</f>
        <v>49187</v>
      </c>
      <c r="M7" s="136" t="s">
        <v>76</v>
      </c>
      <c r="N7" s="358">
        <v>1041.9000000000001</v>
      </c>
      <c r="O7" s="359">
        <v>520.96</v>
      </c>
      <c r="P7" s="135"/>
    </row>
    <row r="8" spans="1:18" ht="12.75" customHeight="1" x14ac:dyDescent="0.25">
      <c r="A8" s="483"/>
      <c r="B8" s="484"/>
      <c r="C8" s="484"/>
      <c r="D8" s="498"/>
      <c r="E8" s="498"/>
      <c r="F8" s="498"/>
      <c r="G8" s="55"/>
      <c r="H8" s="54"/>
      <c r="I8" s="54"/>
      <c r="K8" s="459"/>
      <c r="L8" s="569"/>
      <c r="M8" s="136" t="s">
        <v>78</v>
      </c>
      <c r="N8" s="358">
        <v>1189.2</v>
      </c>
      <c r="O8" s="359">
        <v>594.6</v>
      </c>
      <c r="P8" s="135"/>
    </row>
    <row r="9" spans="1:18" ht="12.75" customHeight="1" x14ac:dyDescent="0.25">
      <c r="A9" s="483"/>
      <c r="B9" s="484"/>
      <c r="C9" s="484"/>
      <c r="D9" s="498"/>
      <c r="E9" s="498"/>
      <c r="F9" s="498"/>
      <c r="G9" s="55"/>
      <c r="H9" s="54"/>
      <c r="I9" s="54"/>
      <c r="K9" s="251"/>
      <c r="L9" s="252"/>
      <c r="M9" s="253" t="s">
        <v>79</v>
      </c>
      <c r="N9" s="360">
        <v>780.24</v>
      </c>
      <c r="O9" s="361">
        <v>390.12</v>
      </c>
      <c r="P9" s="135"/>
    </row>
    <row r="10" spans="1:18" ht="12" customHeight="1" thickBot="1" x14ac:dyDescent="0.3">
      <c r="A10" s="485"/>
      <c r="B10" s="486"/>
      <c r="C10" s="486"/>
      <c r="D10" s="499"/>
      <c r="E10" s="499"/>
      <c r="F10" s="499"/>
      <c r="G10" s="56"/>
      <c r="H10" s="25"/>
      <c r="I10" s="120"/>
      <c r="J10" s="120"/>
      <c r="K10" s="120"/>
      <c r="L10" s="26"/>
      <c r="M10" s="137" t="s">
        <v>80</v>
      </c>
      <c r="N10" s="362" t="s">
        <v>81</v>
      </c>
      <c r="O10" s="363">
        <v>746.09</v>
      </c>
      <c r="P10" s="135"/>
    </row>
    <row r="11" spans="1:18" ht="13.5" hidden="1" thickBot="1" x14ac:dyDescent="0.25">
      <c r="B11" s="210"/>
      <c r="C11" s="210"/>
      <c r="D11" s="210"/>
      <c r="E11" s="279" t="s">
        <v>82</v>
      </c>
      <c r="F11" s="305" t="s">
        <v>83</v>
      </c>
      <c r="G11" s="306" t="s">
        <v>84</v>
      </c>
      <c r="H11" s="307" t="s">
        <v>85</v>
      </c>
      <c r="I11" s="211" t="s">
        <v>86</v>
      </c>
      <c r="J11" s="308" t="s">
        <v>87</v>
      </c>
      <c r="K11" s="210"/>
      <c r="L11" s="210"/>
      <c r="M11" s="210"/>
      <c r="N11" s="211" t="s">
        <v>88</v>
      </c>
      <c r="O11" s="212">
        <v>0</v>
      </c>
      <c r="P11" s="138"/>
    </row>
    <row r="12" spans="1:18" hidden="1" x14ac:dyDescent="0.2">
      <c r="B12" s="279" t="s">
        <v>82</v>
      </c>
      <c r="C12" s="275">
        <f>1/900</f>
        <v>1.1111111111111111E-3</v>
      </c>
      <c r="D12" s="213"/>
      <c r="E12" s="287" t="s">
        <v>88</v>
      </c>
      <c r="F12" s="280" t="s">
        <v>88</v>
      </c>
      <c r="G12" s="297" t="s">
        <v>88</v>
      </c>
      <c r="H12" s="298" t="s">
        <v>88</v>
      </c>
      <c r="I12" s="210" t="s">
        <v>88</v>
      </c>
      <c r="J12" s="293" t="s">
        <v>88</v>
      </c>
      <c r="K12" s="279" t="str">
        <f>B12&amp;M6</f>
        <v>FT_BE_09Emp/Family</v>
      </c>
      <c r="L12" s="273">
        <f>N6</f>
        <v>1453.34</v>
      </c>
      <c r="M12" s="274">
        <v>0.18</v>
      </c>
      <c r="N12" s="275">
        <v>100</v>
      </c>
      <c r="O12" s="210"/>
    </row>
    <row r="13" spans="1:18" hidden="1" x14ac:dyDescent="0.2">
      <c r="B13" s="283" t="s">
        <v>83</v>
      </c>
      <c r="C13" s="282">
        <f>1/1200</f>
        <v>8.3333333333333339E-4</v>
      </c>
      <c r="D13" s="213"/>
      <c r="E13" s="309" t="s">
        <v>72</v>
      </c>
      <c r="F13" s="300" t="s">
        <v>72</v>
      </c>
      <c r="G13" s="301" t="s">
        <v>72</v>
      </c>
      <c r="H13" s="298" t="s">
        <v>89</v>
      </c>
      <c r="I13" s="210"/>
      <c r="J13" s="293" t="s">
        <v>89</v>
      </c>
      <c r="K13" s="287" t="str">
        <f>B12&amp;M7</f>
        <v>FT_BE_09Emp/Child</v>
      </c>
      <c r="L13" s="294">
        <f>N7</f>
        <v>1041.9000000000001</v>
      </c>
      <c r="M13" s="277">
        <v>0.18</v>
      </c>
      <c r="N13" s="278">
        <v>100</v>
      </c>
      <c r="O13" s="210"/>
    </row>
    <row r="14" spans="1:18" hidden="1" x14ac:dyDescent="0.2">
      <c r="B14" s="284" t="s">
        <v>84</v>
      </c>
      <c r="C14" s="286">
        <f>1/1200</f>
        <v>8.3333333333333339E-4</v>
      </c>
      <c r="D14" s="213"/>
      <c r="E14" s="309" t="s">
        <v>76</v>
      </c>
      <c r="F14" s="300" t="s">
        <v>76</v>
      </c>
      <c r="G14" s="301" t="s">
        <v>76</v>
      </c>
      <c r="H14" s="298"/>
      <c r="I14" s="210"/>
      <c r="J14" s="293"/>
      <c r="K14" s="287" t="str">
        <f>B12&amp;M8</f>
        <v>FT_BE_09Emp/Spouse</v>
      </c>
      <c r="L14" s="294">
        <f>N8</f>
        <v>1189.2</v>
      </c>
      <c r="M14" s="277">
        <v>0.18</v>
      </c>
      <c r="N14" s="278">
        <v>100</v>
      </c>
      <c r="O14" s="210"/>
    </row>
    <row r="15" spans="1:18" hidden="1" x14ac:dyDescent="0.2">
      <c r="B15" s="288" t="s">
        <v>85</v>
      </c>
      <c r="C15" s="290">
        <f>1/1200</f>
        <v>8.3333333333333339E-4</v>
      </c>
      <c r="D15" s="213"/>
      <c r="E15" s="309" t="s">
        <v>78</v>
      </c>
      <c r="F15" s="300" t="s">
        <v>78</v>
      </c>
      <c r="G15" s="301" t="s">
        <v>78</v>
      </c>
      <c r="H15" s="298"/>
      <c r="I15" s="210"/>
      <c r="J15" s="293"/>
      <c r="K15" s="287" t="str">
        <f>B12&amp;M9</f>
        <v>FT_BE_09Emp Only</v>
      </c>
      <c r="L15" s="294">
        <f>N9</f>
        <v>780.24</v>
      </c>
      <c r="M15" s="277">
        <v>0.18</v>
      </c>
      <c r="N15" s="278">
        <v>100</v>
      </c>
      <c r="O15" s="210"/>
    </row>
    <row r="16" spans="1:18" hidden="1" x14ac:dyDescent="0.2">
      <c r="B16" s="291" t="s">
        <v>87</v>
      </c>
      <c r="C16" s="293">
        <v>1</v>
      </c>
      <c r="D16" s="213"/>
      <c r="E16" s="310" t="s">
        <v>79</v>
      </c>
      <c r="F16" s="302" t="s">
        <v>79</v>
      </c>
      <c r="G16" s="303" t="s">
        <v>79</v>
      </c>
      <c r="H16" s="304"/>
      <c r="I16" s="29"/>
      <c r="J16" s="311"/>
      <c r="K16" s="283" t="str">
        <f>B13&amp;M6</f>
        <v>FT_BE_12Emp/Family</v>
      </c>
      <c r="L16" s="295">
        <f>N6</f>
        <v>1453.34</v>
      </c>
      <c r="M16" s="281">
        <v>0.18</v>
      </c>
      <c r="N16" s="282">
        <v>100</v>
      </c>
      <c r="O16" s="210"/>
    </row>
    <row r="17" spans="2:15" ht="13.5" hidden="1" thickBot="1" x14ac:dyDescent="0.25">
      <c r="B17" s="215" t="s">
        <v>86</v>
      </c>
      <c r="C17" s="216">
        <v>0</v>
      </c>
      <c r="D17" s="213"/>
      <c r="E17" s="287" t="s">
        <v>89</v>
      </c>
      <c r="F17" s="300" t="s">
        <v>89</v>
      </c>
      <c r="G17" s="301" t="s">
        <v>80</v>
      </c>
      <c r="H17" s="298"/>
      <c r="I17" s="210"/>
      <c r="J17" s="293"/>
      <c r="K17" s="283" t="str">
        <f>B13&amp;M7</f>
        <v>FT_BE_12Emp/Child</v>
      </c>
      <c r="L17" s="295">
        <f t="shared" ref="L17:L19" si="0">N7</f>
        <v>1041.9000000000001</v>
      </c>
      <c r="M17" s="281">
        <v>0.18</v>
      </c>
      <c r="N17" s="282">
        <v>100</v>
      </c>
      <c r="O17" s="210"/>
    </row>
    <row r="18" spans="2:15" ht="13.5" hidden="1" thickBot="1" x14ac:dyDescent="0.25">
      <c r="B18" s="210"/>
      <c r="C18" s="210"/>
      <c r="D18" s="210"/>
      <c r="E18" s="312"/>
      <c r="F18" s="313"/>
      <c r="G18" s="314" t="s">
        <v>89</v>
      </c>
      <c r="H18" s="315"/>
      <c r="I18" s="217"/>
      <c r="J18" s="316"/>
      <c r="K18" s="283" t="str">
        <f>B13&amp;M8</f>
        <v>FT_BE_12Emp/Spouse</v>
      </c>
      <c r="L18" s="295">
        <f t="shared" si="0"/>
        <v>1189.2</v>
      </c>
      <c r="M18" s="281">
        <v>0.18</v>
      </c>
      <c r="N18" s="282">
        <v>100</v>
      </c>
      <c r="O18" s="210"/>
    </row>
    <row r="19" spans="2:15" hidden="1" x14ac:dyDescent="0.2">
      <c r="B19" s="210"/>
      <c r="C19" s="210"/>
      <c r="D19" s="210"/>
      <c r="E19" s="210"/>
      <c r="F19" s="210"/>
      <c r="G19" s="210"/>
      <c r="H19" s="210"/>
      <c r="I19" s="210"/>
      <c r="J19" s="210"/>
      <c r="K19" s="283" t="str">
        <f>B13&amp;M9</f>
        <v>FT_BE_12Emp Only</v>
      </c>
      <c r="L19" s="295">
        <f t="shared" si="0"/>
        <v>780.24</v>
      </c>
      <c r="M19" s="281">
        <v>0.18</v>
      </c>
      <c r="N19" s="282">
        <v>100</v>
      </c>
      <c r="O19" s="210"/>
    </row>
    <row r="20" spans="2:15" hidden="1" x14ac:dyDescent="0.2">
      <c r="B20" s="210"/>
      <c r="C20" s="210"/>
      <c r="D20" s="210"/>
      <c r="E20" s="210"/>
      <c r="F20" s="210"/>
      <c r="G20" s="210"/>
      <c r="H20" s="210"/>
      <c r="I20" s="210"/>
      <c r="J20" s="210"/>
      <c r="K20" s="283" t="str">
        <f>B13&amp;F17</f>
        <v>FT_BE_12None</v>
      </c>
      <c r="L20" s="295">
        <v>0</v>
      </c>
      <c r="M20" s="281">
        <v>0.18</v>
      </c>
      <c r="N20" s="282">
        <v>0</v>
      </c>
      <c r="O20" s="210"/>
    </row>
    <row r="21" spans="2:15" hidden="1" x14ac:dyDescent="0.2">
      <c r="B21" s="210"/>
      <c r="C21" s="210"/>
      <c r="D21" s="210"/>
      <c r="E21" s="210"/>
      <c r="F21" s="210"/>
      <c r="G21" s="210"/>
      <c r="H21" s="210"/>
      <c r="I21" s="210"/>
      <c r="J21" s="210"/>
      <c r="K21" s="284" t="str">
        <f>B14&amp;M6</f>
        <v>PT_BE_12Emp/Family</v>
      </c>
      <c r="L21" s="296">
        <f>N6</f>
        <v>1453.34</v>
      </c>
      <c r="M21" s="285">
        <v>0.18</v>
      </c>
      <c r="N21" s="286">
        <v>50</v>
      </c>
      <c r="O21" s="210"/>
    </row>
    <row r="22" spans="2:15" hidden="1" x14ac:dyDescent="0.2">
      <c r="B22" s="210"/>
      <c r="C22" s="210"/>
      <c r="D22" s="210"/>
      <c r="E22" s="210"/>
      <c r="F22" s="210"/>
      <c r="G22" s="210"/>
      <c r="H22" s="210"/>
      <c r="I22" s="210"/>
      <c r="J22" s="210"/>
      <c r="K22" s="284" t="str">
        <f>B14&amp;M7</f>
        <v>PT_BE_12Emp/Child</v>
      </c>
      <c r="L22" s="296">
        <f t="shared" ref="L22:L24" si="1">N7</f>
        <v>1041.9000000000001</v>
      </c>
      <c r="M22" s="285">
        <v>0.18</v>
      </c>
      <c r="N22" s="286">
        <v>50</v>
      </c>
      <c r="O22" s="210"/>
    </row>
    <row r="23" spans="2:15" hidden="1" x14ac:dyDescent="0.2">
      <c r="B23" s="210"/>
      <c r="C23" s="210"/>
      <c r="D23" s="210"/>
      <c r="E23" s="210"/>
      <c r="F23" s="210"/>
      <c r="G23" s="210"/>
      <c r="H23" s="210"/>
      <c r="I23" s="210"/>
      <c r="J23" s="210"/>
      <c r="K23" s="284" t="str">
        <f>B14&amp;M8</f>
        <v>PT_BE_12Emp/Spouse</v>
      </c>
      <c r="L23" s="296">
        <f t="shared" si="1"/>
        <v>1189.2</v>
      </c>
      <c r="M23" s="285">
        <v>0.18</v>
      </c>
      <c r="N23" s="286">
        <v>50</v>
      </c>
      <c r="O23" s="210"/>
    </row>
    <row r="24" spans="2:15" hidden="1" x14ac:dyDescent="0.2">
      <c r="B24" s="210"/>
      <c r="C24" s="210"/>
      <c r="D24" s="210"/>
      <c r="E24" s="210"/>
      <c r="F24" s="210"/>
      <c r="G24" s="210"/>
      <c r="H24" s="210"/>
      <c r="I24" s="210"/>
      <c r="J24" s="210"/>
      <c r="K24" s="284" t="str">
        <f>B14&amp;M9</f>
        <v>PT_BE_12Emp Only</v>
      </c>
      <c r="L24" s="296">
        <f t="shared" si="1"/>
        <v>780.24</v>
      </c>
      <c r="M24" s="285">
        <v>0.18</v>
      </c>
      <c r="N24" s="286">
        <v>50</v>
      </c>
      <c r="O24" s="210"/>
    </row>
    <row r="25" spans="2:15" hidden="1" x14ac:dyDescent="0.2">
      <c r="B25" s="210"/>
      <c r="C25" s="210"/>
      <c r="D25" s="210"/>
      <c r="E25" s="210"/>
      <c r="F25" s="210"/>
      <c r="G25" s="210"/>
      <c r="H25" s="210"/>
      <c r="I25" s="210"/>
      <c r="J25" s="210"/>
      <c r="K25" s="284" t="str">
        <f>B14&amp;G17</f>
        <v>PT_BE_12Grad Res Asst</v>
      </c>
      <c r="L25" s="296">
        <f>O10</f>
        <v>746.09</v>
      </c>
      <c r="M25" s="285">
        <v>0.08</v>
      </c>
      <c r="N25" s="286">
        <v>100</v>
      </c>
      <c r="O25" s="210"/>
    </row>
    <row r="26" spans="2:15" hidden="1" x14ac:dyDescent="0.2">
      <c r="B26" s="210"/>
      <c r="C26" s="210"/>
      <c r="D26" s="210"/>
      <c r="E26" s="210"/>
      <c r="F26" s="210"/>
      <c r="G26" s="210"/>
      <c r="H26" s="210"/>
      <c r="I26" s="210"/>
      <c r="J26" s="210"/>
      <c r="K26" s="284" t="str">
        <f>B14&amp;G18</f>
        <v>PT_BE_12None</v>
      </c>
      <c r="L26" s="296">
        <v>0</v>
      </c>
      <c r="M26" s="285">
        <v>0.08</v>
      </c>
      <c r="N26" s="286">
        <v>0</v>
      </c>
      <c r="O26" s="210"/>
    </row>
    <row r="27" spans="2:15" hidden="1" x14ac:dyDescent="0.2">
      <c r="B27" s="210"/>
      <c r="C27" s="210"/>
      <c r="D27" s="210"/>
      <c r="E27" s="210"/>
      <c r="F27" s="210"/>
      <c r="G27" s="210"/>
      <c r="H27" s="210"/>
      <c r="I27" s="210"/>
      <c r="J27" s="210"/>
      <c r="K27" s="284" t="str">
        <f>B14&amp;G12</f>
        <v>PT_BE_12Select One</v>
      </c>
      <c r="L27" s="297">
        <v>0</v>
      </c>
      <c r="M27" s="285">
        <v>0</v>
      </c>
      <c r="N27" s="286">
        <v>0</v>
      </c>
      <c r="O27" s="210"/>
    </row>
    <row r="28" spans="2:15" hidden="1" x14ac:dyDescent="0.2">
      <c r="B28" s="210"/>
      <c r="C28" s="210"/>
      <c r="D28" s="210"/>
      <c r="E28" s="210"/>
      <c r="F28" s="210"/>
      <c r="G28" s="210"/>
      <c r="H28" s="210"/>
      <c r="I28" s="210"/>
      <c r="J28" s="210"/>
      <c r="K28" s="288" t="str">
        <f>B15&amp;H13</f>
        <v>PT_NB_12None</v>
      </c>
      <c r="L28" s="298">
        <v>0</v>
      </c>
      <c r="M28" s="289">
        <v>0.08</v>
      </c>
      <c r="N28" s="290">
        <v>0</v>
      </c>
      <c r="O28" s="210"/>
    </row>
    <row r="29" spans="2:15" hidden="1" x14ac:dyDescent="0.2">
      <c r="B29" s="210"/>
      <c r="C29" s="210"/>
      <c r="D29" s="210"/>
      <c r="E29" s="210"/>
      <c r="F29" s="210"/>
      <c r="G29" s="210"/>
      <c r="H29" s="210"/>
      <c r="I29" s="210"/>
      <c r="J29" s="210"/>
      <c r="K29" s="291" t="str">
        <f>B16&amp;J13</f>
        <v>HourlyNone</v>
      </c>
      <c r="L29" s="299">
        <v>0</v>
      </c>
      <c r="M29" s="292">
        <v>0.08</v>
      </c>
      <c r="N29" s="293">
        <v>0</v>
      </c>
      <c r="O29" s="210"/>
    </row>
    <row r="30" spans="2:15" hidden="1" x14ac:dyDescent="0.2">
      <c r="B30" s="210"/>
      <c r="C30" s="210"/>
      <c r="D30" s="210"/>
      <c r="E30" s="210"/>
      <c r="F30" s="210"/>
      <c r="G30" s="210"/>
      <c r="H30" s="210"/>
      <c r="I30" s="210"/>
      <c r="J30" s="210"/>
      <c r="K30" s="287" t="str">
        <f>B12&amp;E12</f>
        <v>FT_BE_09Select One</v>
      </c>
      <c r="L30" s="276">
        <v>0</v>
      </c>
      <c r="M30" s="277">
        <v>0</v>
      </c>
      <c r="N30" s="278">
        <v>0</v>
      </c>
      <c r="O30" s="210"/>
    </row>
    <row r="31" spans="2:15" hidden="1" x14ac:dyDescent="0.2">
      <c r="B31" s="210"/>
      <c r="C31" s="210"/>
      <c r="D31" s="210"/>
      <c r="E31" s="210"/>
      <c r="F31" s="210"/>
      <c r="G31" s="210"/>
      <c r="H31" s="210"/>
      <c r="I31" s="210"/>
      <c r="J31" s="210"/>
      <c r="K31" s="283" t="str">
        <f>B13&amp;F12</f>
        <v>FT_BE_12Select One</v>
      </c>
      <c r="L31" s="280">
        <v>0</v>
      </c>
      <c r="M31" s="281">
        <v>0</v>
      </c>
      <c r="N31" s="282">
        <v>0</v>
      </c>
      <c r="O31" s="210"/>
    </row>
    <row r="32" spans="2:15" hidden="1" x14ac:dyDescent="0.2">
      <c r="B32" s="210"/>
      <c r="C32" s="210"/>
      <c r="D32" s="210"/>
      <c r="E32" s="210"/>
      <c r="F32" s="210"/>
      <c r="G32" s="210"/>
      <c r="H32" s="210"/>
      <c r="I32" s="210"/>
      <c r="J32" s="210"/>
      <c r="K32" s="287" t="str">
        <f>B12&amp;E17</f>
        <v>FT_BE_09None</v>
      </c>
      <c r="L32" s="276">
        <v>0</v>
      </c>
      <c r="M32" s="277">
        <v>0.18</v>
      </c>
      <c r="N32" s="278">
        <v>0</v>
      </c>
      <c r="O32" s="210"/>
    </row>
    <row r="33" spans="1:19" hidden="1" x14ac:dyDescent="0.2">
      <c r="B33" s="210"/>
      <c r="C33" s="210"/>
      <c r="D33" s="210"/>
      <c r="E33" s="210"/>
      <c r="F33" s="210"/>
      <c r="G33" s="210"/>
      <c r="H33" s="210"/>
      <c r="I33" s="210"/>
      <c r="J33" s="210"/>
      <c r="K33" s="288" t="str">
        <f>B15&amp;H12</f>
        <v>PT_NB_12Select One</v>
      </c>
      <c r="L33" s="298">
        <v>0</v>
      </c>
      <c r="M33" s="289">
        <v>0</v>
      </c>
      <c r="N33" s="290">
        <v>0</v>
      </c>
      <c r="O33" s="210"/>
    </row>
    <row r="34" spans="1:19" hidden="1" x14ac:dyDescent="0.2">
      <c r="B34" s="210"/>
      <c r="C34" s="210"/>
      <c r="D34" s="210"/>
      <c r="E34" s="210"/>
      <c r="F34" s="210"/>
      <c r="G34" s="210"/>
      <c r="H34" s="210"/>
      <c r="I34" s="210"/>
      <c r="J34" s="210"/>
      <c r="K34" s="291" t="str">
        <f>B16&amp;J12</f>
        <v>HourlySelect One</v>
      </c>
      <c r="L34" s="299">
        <v>0</v>
      </c>
      <c r="M34" s="292">
        <v>0</v>
      </c>
      <c r="N34" s="293">
        <v>0</v>
      </c>
      <c r="O34" s="210"/>
    </row>
    <row r="35" spans="1:19" ht="13.5" hidden="1" thickBot="1" x14ac:dyDescent="0.25">
      <c r="B35" s="210"/>
      <c r="C35" s="210"/>
      <c r="D35" s="210"/>
      <c r="E35" s="210"/>
      <c r="F35" s="210"/>
      <c r="G35" s="210"/>
      <c r="H35" s="210"/>
      <c r="I35" s="210"/>
      <c r="J35" s="210"/>
      <c r="K35" s="215" t="str">
        <f>B17&amp;I12</f>
        <v>SelectSelect One</v>
      </c>
      <c r="L35" s="217"/>
      <c r="M35" s="317"/>
      <c r="N35" s="216"/>
      <c r="O35" s="210"/>
    </row>
    <row r="36" spans="1:19" ht="18" customHeight="1" thickBot="1" x14ac:dyDescent="0.25">
      <c r="A36" s="490"/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</row>
    <row r="37" spans="1:19" ht="13.5" customHeight="1" x14ac:dyDescent="0.2">
      <c r="A37" s="414" t="s">
        <v>90</v>
      </c>
      <c r="B37" s="494" t="s">
        <v>91</v>
      </c>
      <c r="C37" s="495"/>
      <c r="D37" s="495"/>
      <c r="E37" s="495"/>
      <c r="F37" s="495"/>
      <c r="G37" s="495"/>
      <c r="H37" s="495"/>
      <c r="I37" s="495"/>
      <c r="J37" s="495"/>
      <c r="K37" s="496" t="s">
        <v>92</v>
      </c>
      <c r="L37" s="497"/>
      <c r="M37" s="234">
        <f>SUM(M39:M65)</f>
        <v>0</v>
      </c>
      <c r="N37" s="234">
        <f>SUM(N39:N65)</f>
        <v>0</v>
      </c>
      <c r="O37" s="235">
        <f>SUM(O39:O65)</f>
        <v>0</v>
      </c>
    </row>
    <row r="38" spans="1:19" ht="49.9" customHeight="1" x14ac:dyDescent="0.2">
      <c r="A38" s="415"/>
      <c r="B38" s="491" t="s">
        <v>93</v>
      </c>
      <c r="C38" s="491"/>
      <c r="D38" s="34" t="s">
        <v>94</v>
      </c>
      <c r="E38" s="34" t="s">
        <v>95</v>
      </c>
      <c r="F38" s="140" t="s">
        <v>96</v>
      </c>
      <c r="G38" s="492" t="s">
        <v>97</v>
      </c>
      <c r="H38" s="493"/>
      <c r="I38" s="34" t="s">
        <v>98</v>
      </c>
      <c r="J38" s="34" t="s">
        <v>99</v>
      </c>
      <c r="K38" s="34" t="s">
        <v>100</v>
      </c>
      <c r="L38" s="34" t="s">
        <v>101</v>
      </c>
      <c r="M38" s="34" t="s">
        <v>205</v>
      </c>
      <c r="N38" s="34" t="s">
        <v>206</v>
      </c>
      <c r="O38" s="141" t="s">
        <v>104</v>
      </c>
      <c r="P38" s="142"/>
      <c r="S38" s="5"/>
    </row>
    <row r="39" spans="1:19" ht="13.5" customHeight="1" x14ac:dyDescent="0.2">
      <c r="A39" s="415"/>
      <c r="B39" s="383" t="str">
        <f>IF('Per9'!B39&lt;&gt;"",'Per9'!B39,"")</f>
        <v/>
      </c>
      <c r="C39" s="383"/>
      <c r="D39" s="60" t="str">
        <f>IF('Per9'!D39&lt;&gt;"",'Per9'!D39,"")</f>
        <v/>
      </c>
      <c r="E39" s="143" t="str">
        <f>'Per1'!E39</f>
        <v>Select</v>
      </c>
      <c r="F39" s="144" t="str">
        <f>'Per1'!F39</f>
        <v>Select One</v>
      </c>
      <c r="G39" s="481">
        <f>IF(E39="Hourly",ROUND('Per9'!G39*1.03,2),ROUND('Per9'!G39*1.03,0))</f>
        <v>0</v>
      </c>
      <c r="H39" s="482"/>
      <c r="I39" s="6"/>
      <c r="J39" s="27"/>
      <c r="K39" s="209">
        <f>IF(E39="Hourly",I39*J39/173.33,I39*J39/100)</f>
        <v>0</v>
      </c>
      <c r="L39" s="7" t="str">
        <f t="shared" ref="L39:L65" si="2">IF(M39&lt;&gt;0,SUM(N39/M39),"-")</f>
        <v>-</v>
      </c>
      <c r="M39" s="19">
        <f t="shared" ref="M39:M65" si="3">ROUND((G39*I39*J39*VLOOKUP(E39,$B$12:$C$17,2,FALSE)),0)</f>
        <v>0</v>
      </c>
      <c r="N39" s="19">
        <f t="shared" ref="N39:N65" si="4">ROUND(M39*VLOOKUP(E39&amp;F39,$K$12:$N$35,3,FALSE)+VLOOKUP(E39&amp;F39,$K$12:$N$35,2,FALSE)*MIN(J39,VLOOKUP(E39&amp;F39,$K$12:$N$35,4,FALSE))*I39/100,0)</f>
        <v>0</v>
      </c>
      <c r="O39" s="20">
        <f t="shared" ref="O39:O65" si="5">M39+N39</f>
        <v>0</v>
      </c>
      <c r="P39" s="145"/>
      <c r="Q39" s="14" t="s">
        <v>105</v>
      </c>
      <c r="S39" s="133"/>
    </row>
    <row r="40" spans="1:19" ht="13.5" customHeight="1" x14ac:dyDescent="0.2">
      <c r="A40" s="415"/>
      <c r="B40" s="383" t="str">
        <f>IF('Per9'!B40&lt;&gt;"",'Per9'!B40,"")</f>
        <v/>
      </c>
      <c r="C40" s="383"/>
      <c r="D40" s="60" t="str">
        <f>IF('Per9'!D40&lt;&gt;"",'Per9'!D40,"")</f>
        <v/>
      </c>
      <c r="E40" s="143" t="str">
        <f>'Per1'!E40</f>
        <v>Select</v>
      </c>
      <c r="F40" s="144" t="str">
        <f>'Per1'!F40</f>
        <v>Select One</v>
      </c>
      <c r="G40" s="481">
        <f>IF(E40="Hourly",ROUND('Per9'!G40*1.03,2),ROUND('Per9'!G40*1.03,0))</f>
        <v>0</v>
      </c>
      <c r="H40" s="482"/>
      <c r="I40" s="6"/>
      <c r="J40" s="27"/>
      <c r="K40" s="209">
        <f t="shared" ref="K40:K65" si="6">IF(E40="Hourly",I40*J40/173.33,I40*J40/100)</f>
        <v>0</v>
      </c>
      <c r="L40" s="7" t="str">
        <f t="shared" si="2"/>
        <v>-</v>
      </c>
      <c r="M40" s="19">
        <f t="shared" si="3"/>
        <v>0</v>
      </c>
      <c r="N40" s="19">
        <f t="shared" si="4"/>
        <v>0</v>
      </c>
      <c r="O40" s="8">
        <f t="shared" si="5"/>
        <v>0</v>
      </c>
      <c r="P40" s="30"/>
      <c r="Q40" s="14" t="s">
        <v>106</v>
      </c>
      <c r="S40" s="133"/>
    </row>
    <row r="41" spans="1:19" ht="13.5" customHeight="1" x14ac:dyDescent="0.2">
      <c r="A41" s="415"/>
      <c r="B41" s="383" t="str">
        <f>IF('Per9'!B41&lt;&gt;"",'Per9'!B41,"")</f>
        <v/>
      </c>
      <c r="C41" s="383"/>
      <c r="D41" s="60" t="str">
        <f>IF('Per9'!D41&lt;&gt;"",'Per9'!D41,"")</f>
        <v/>
      </c>
      <c r="E41" s="143" t="str">
        <f>'Per1'!E41</f>
        <v>Select</v>
      </c>
      <c r="F41" s="144" t="str">
        <f>'Per1'!F41</f>
        <v>Select One</v>
      </c>
      <c r="G41" s="481">
        <f>IF(E41="Hourly",ROUND('Per9'!G41*1.03,2),ROUND('Per9'!G41*1.03,0))</f>
        <v>0</v>
      </c>
      <c r="H41" s="482"/>
      <c r="I41" s="6"/>
      <c r="J41" s="27"/>
      <c r="K41" s="209">
        <f t="shared" si="6"/>
        <v>0</v>
      </c>
      <c r="L41" s="7" t="str">
        <f t="shared" si="2"/>
        <v>-</v>
      </c>
      <c r="M41" s="19">
        <f t="shared" si="3"/>
        <v>0</v>
      </c>
      <c r="N41" s="19">
        <f t="shared" si="4"/>
        <v>0</v>
      </c>
      <c r="O41" s="8">
        <f t="shared" si="5"/>
        <v>0</v>
      </c>
      <c r="P41" s="30"/>
      <c r="Q41" s="14" t="s">
        <v>107</v>
      </c>
      <c r="S41" s="133"/>
    </row>
    <row r="42" spans="1:19" ht="13.5" customHeight="1" x14ac:dyDescent="0.2">
      <c r="A42" s="415"/>
      <c r="B42" s="383" t="str">
        <f>IF('Per9'!B42&lt;&gt;"",'Per9'!B42,"")</f>
        <v/>
      </c>
      <c r="C42" s="383"/>
      <c r="D42" s="60" t="str">
        <f>IF('Per9'!D42&lt;&gt;"",'Per9'!D42,"")</f>
        <v/>
      </c>
      <c r="E42" s="143" t="str">
        <f>'Per1'!E42</f>
        <v>Select</v>
      </c>
      <c r="F42" s="144" t="str">
        <f>'Per1'!F42</f>
        <v>Select One</v>
      </c>
      <c r="G42" s="481">
        <f>IF(E42="Hourly",ROUND('Per9'!G42*1.03,2),ROUND('Per9'!G42*1.03,0))</f>
        <v>0</v>
      </c>
      <c r="H42" s="482"/>
      <c r="I42" s="6"/>
      <c r="J42" s="27"/>
      <c r="K42" s="209">
        <f t="shared" si="6"/>
        <v>0</v>
      </c>
      <c r="L42" s="7" t="str">
        <f t="shared" si="2"/>
        <v>-</v>
      </c>
      <c r="M42" s="19">
        <f t="shared" si="3"/>
        <v>0</v>
      </c>
      <c r="N42" s="19">
        <f t="shared" si="4"/>
        <v>0</v>
      </c>
      <c r="O42" s="8">
        <f t="shared" si="5"/>
        <v>0</v>
      </c>
      <c r="P42" s="30"/>
      <c r="Q42" s="14" t="s">
        <v>108</v>
      </c>
      <c r="S42" s="133"/>
    </row>
    <row r="43" spans="1:19" ht="13.5" customHeight="1" x14ac:dyDescent="0.2">
      <c r="A43" s="415"/>
      <c r="B43" s="383" t="str">
        <f>IF('Per9'!B43&lt;&gt;"",'Per9'!B43,"")</f>
        <v/>
      </c>
      <c r="C43" s="383"/>
      <c r="D43" s="60" t="str">
        <f>IF('Per9'!D43&lt;&gt;"",'Per9'!D43,"")</f>
        <v/>
      </c>
      <c r="E43" s="143" t="str">
        <f>'Per1'!E43</f>
        <v>Select</v>
      </c>
      <c r="F43" s="144" t="str">
        <f>'Per1'!F43</f>
        <v>Select One</v>
      </c>
      <c r="G43" s="481">
        <f>IF(E43="Hourly",ROUND('Per9'!G43*1.03,2),ROUND('Per9'!G43*1.03,0))</f>
        <v>0</v>
      </c>
      <c r="H43" s="482"/>
      <c r="I43" s="6"/>
      <c r="J43" s="27"/>
      <c r="K43" s="209">
        <f t="shared" si="6"/>
        <v>0</v>
      </c>
      <c r="L43" s="7" t="str">
        <f t="shared" si="2"/>
        <v>-</v>
      </c>
      <c r="M43" s="19">
        <f t="shared" si="3"/>
        <v>0</v>
      </c>
      <c r="N43" s="19">
        <f t="shared" si="4"/>
        <v>0</v>
      </c>
      <c r="O43" s="8">
        <f t="shared" si="5"/>
        <v>0</v>
      </c>
      <c r="P43" s="30"/>
      <c r="Q43" s="14" t="s">
        <v>109</v>
      </c>
      <c r="S43" s="133"/>
    </row>
    <row r="44" spans="1:19" ht="13.5" customHeight="1" x14ac:dyDescent="0.2">
      <c r="A44" s="415"/>
      <c r="B44" s="383" t="str">
        <f>IF('Per9'!B44&lt;&gt;"",'Per9'!B44,"")</f>
        <v/>
      </c>
      <c r="C44" s="383"/>
      <c r="D44" s="60" t="str">
        <f>IF('Per9'!D44&lt;&gt;"",'Per9'!D44,"")</f>
        <v/>
      </c>
      <c r="E44" s="143" t="str">
        <f>'Per1'!E44</f>
        <v>Select</v>
      </c>
      <c r="F44" s="144" t="str">
        <f>'Per1'!F44</f>
        <v>Select One</v>
      </c>
      <c r="G44" s="481">
        <f>IF(E44="Hourly",ROUND('Per9'!G44*1.03,2),ROUND('Per9'!G44*1.03,0))</f>
        <v>0</v>
      </c>
      <c r="H44" s="482"/>
      <c r="I44" s="6"/>
      <c r="J44" s="27"/>
      <c r="K44" s="209">
        <f t="shared" si="6"/>
        <v>0</v>
      </c>
      <c r="L44" s="7" t="str">
        <f t="shared" si="2"/>
        <v>-</v>
      </c>
      <c r="M44" s="19">
        <f t="shared" si="3"/>
        <v>0</v>
      </c>
      <c r="N44" s="19">
        <f t="shared" si="4"/>
        <v>0</v>
      </c>
      <c r="O44" s="8">
        <f t="shared" si="5"/>
        <v>0</v>
      </c>
      <c r="P44" s="30"/>
      <c r="Q44" s="14" t="s">
        <v>110</v>
      </c>
      <c r="S44" s="146"/>
    </row>
    <row r="45" spans="1:19" ht="13.5" customHeight="1" x14ac:dyDescent="0.2">
      <c r="A45" s="415"/>
      <c r="B45" s="383" t="str">
        <f>IF('Per9'!B45&lt;&gt;"",'Per9'!B45,"")</f>
        <v/>
      </c>
      <c r="C45" s="383"/>
      <c r="D45" s="60" t="str">
        <f>IF('Per9'!D45&lt;&gt;"",'Per9'!D45,"")</f>
        <v/>
      </c>
      <c r="E45" s="143" t="str">
        <f>'Per1'!E45</f>
        <v>Select</v>
      </c>
      <c r="F45" s="144" t="str">
        <f>'Per1'!F45</f>
        <v>Select One</v>
      </c>
      <c r="G45" s="481">
        <f>IF(E45="Hourly",ROUND('Per9'!G45*1.03,2),ROUND('Per9'!G45*1.03,0))</f>
        <v>0</v>
      </c>
      <c r="H45" s="482"/>
      <c r="I45" s="6"/>
      <c r="J45" s="27"/>
      <c r="K45" s="209">
        <f t="shared" si="6"/>
        <v>0</v>
      </c>
      <c r="L45" s="7" t="str">
        <f t="shared" si="2"/>
        <v>-</v>
      </c>
      <c r="M45" s="19">
        <f t="shared" si="3"/>
        <v>0</v>
      </c>
      <c r="N45" s="19">
        <f t="shared" si="4"/>
        <v>0</v>
      </c>
      <c r="O45" s="8">
        <f t="shared" si="5"/>
        <v>0</v>
      </c>
      <c r="P45" s="30"/>
      <c r="Q45" s="14"/>
      <c r="S45" s="146"/>
    </row>
    <row r="46" spans="1:19" ht="13.5" customHeight="1" x14ac:dyDescent="0.2">
      <c r="A46" s="415"/>
      <c r="B46" s="383" t="str">
        <f>IF('Per9'!B46&lt;&gt;"",'Per9'!B46,"")</f>
        <v/>
      </c>
      <c r="C46" s="383"/>
      <c r="D46" s="60" t="str">
        <f>IF('Per9'!D46&lt;&gt;"",'Per9'!D46,"")</f>
        <v/>
      </c>
      <c r="E46" s="143" t="str">
        <f>'Per1'!E46</f>
        <v>Select</v>
      </c>
      <c r="F46" s="144" t="str">
        <f>'Per1'!F46</f>
        <v>Select One</v>
      </c>
      <c r="G46" s="481">
        <f>IF(E46="Hourly",ROUND('Per9'!G46*1.03,2),ROUND('Per9'!G46*1.03,0))</f>
        <v>0</v>
      </c>
      <c r="H46" s="482"/>
      <c r="I46" s="6"/>
      <c r="J46" s="27"/>
      <c r="K46" s="209">
        <f t="shared" si="6"/>
        <v>0</v>
      </c>
      <c r="L46" s="7" t="str">
        <f t="shared" si="2"/>
        <v>-</v>
      </c>
      <c r="M46" s="19">
        <f t="shared" si="3"/>
        <v>0</v>
      </c>
      <c r="N46" s="19">
        <f t="shared" si="4"/>
        <v>0</v>
      </c>
      <c r="O46" s="8">
        <f t="shared" si="5"/>
        <v>0</v>
      </c>
      <c r="P46" s="30"/>
      <c r="Q46" s="14"/>
      <c r="S46" s="146"/>
    </row>
    <row r="47" spans="1:19" ht="13.5" customHeight="1" x14ac:dyDescent="0.2">
      <c r="A47" s="415"/>
      <c r="B47" s="383" t="str">
        <f>IF('Per9'!B47&lt;&gt;"",'Per9'!B47,"")</f>
        <v/>
      </c>
      <c r="C47" s="383"/>
      <c r="D47" s="60" t="str">
        <f>IF('Per9'!D47&lt;&gt;"",'Per9'!D47,"")</f>
        <v/>
      </c>
      <c r="E47" s="143" t="str">
        <f>'Per1'!E47</f>
        <v>Select</v>
      </c>
      <c r="F47" s="144" t="str">
        <f>'Per1'!F47</f>
        <v>Select One</v>
      </c>
      <c r="G47" s="481">
        <f>IF(E47="Hourly",ROUND('Per9'!G47*1.03,2),ROUND('Per9'!G47*1.03,0))</f>
        <v>0</v>
      </c>
      <c r="H47" s="482"/>
      <c r="I47" s="6"/>
      <c r="J47" s="27"/>
      <c r="K47" s="209">
        <f t="shared" si="6"/>
        <v>0</v>
      </c>
      <c r="L47" s="7" t="str">
        <f t="shared" si="2"/>
        <v>-</v>
      </c>
      <c r="M47" s="19">
        <f t="shared" si="3"/>
        <v>0</v>
      </c>
      <c r="N47" s="19">
        <f t="shared" si="4"/>
        <v>0</v>
      </c>
      <c r="O47" s="8">
        <f t="shared" si="5"/>
        <v>0</v>
      </c>
      <c r="P47" s="30"/>
      <c r="Q47" s="14"/>
      <c r="S47" s="146"/>
    </row>
    <row r="48" spans="1:19" ht="13.5" customHeight="1" thickBot="1" x14ac:dyDescent="0.25">
      <c r="A48" s="415"/>
      <c r="B48" s="383" t="str">
        <f>IF('Per9'!B48&lt;&gt;"",'Per9'!B48,"")</f>
        <v/>
      </c>
      <c r="C48" s="383"/>
      <c r="D48" s="60" t="str">
        <f>IF('Per9'!D48&lt;&gt;"",'Per9'!D48,"")</f>
        <v/>
      </c>
      <c r="E48" s="143" t="str">
        <f>'Per1'!E48</f>
        <v>Select</v>
      </c>
      <c r="F48" s="144" t="str">
        <f>'Per1'!F48</f>
        <v>Select One</v>
      </c>
      <c r="G48" s="481">
        <f>IF(E48="Hourly",ROUND('Per9'!G48*1.03,2),ROUND('Per9'!G48*1.03,0))</f>
        <v>0</v>
      </c>
      <c r="H48" s="482"/>
      <c r="I48" s="6"/>
      <c r="J48" s="27"/>
      <c r="K48" s="209">
        <f t="shared" si="6"/>
        <v>0</v>
      </c>
      <c r="L48" s="7" t="str">
        <f t="shared" si="2"/>
        <v>-</v>
      </c>
      <c r="M48" s="19">
        <f t="shared" si="3"/>
        <v>0</v>
      </c>
      <c r="N48" s="19">
        <f t="shared" si="4"/>
        <v>0</v>
      </c>
      <c r="O48" s="8">
        <f t="shared" si="5"/>
        <v>0</v>
      </c>
      <c r="P48" s="30"/>
      <c r="Q48" s="14"/>
      <c r="S48" s="146"/>
    </row>
    <row r="49" spans="1:19" ht="13.5" hidden="1" customHeight="1" x14ac:dyDescent="0.2">
      <c r="A49" s="415"/>
      <c r="B49" s="383" t="str">
        <f>IF('Per9'!B49&lt;&gt;"",'Per9'!B49,"")</f>
        <v/>
      </c>
      <c r="C49" s="383"/>
      <c r="D49" s="60" t="str">
        <f>IF('Per9'!D49&lt;&gt;"",'Per9'!D49,"")</f>
        <v/>
      </c>
      <c r="E49" s="143" t="str">
        <f>'Per1'!E49</f>
        <v>Select</v>
      </c>
      <c r="F49" s="144" t="str">
        <f>'Per1'!F49</f>
        <v>Select One</v>
      </c>
      <c r="G49" s="481">
        <f>IF(E49="Hourly",ROUND('Per9'!G49*1.03,2),ROUND('Per9'!G49*1.03,0))</f>
        <v>0</v>
      </c>
      <c r="H49" s="482"/>
      <c r="I49" s="6"/>
      <c r="J49" s="27"/>
      <c r="K49" s="209">
        <f t="shared" si="6"/>
        <v>0</v>
      </c>
      <c r="L49" s="7" t="str">
        <f t="shared" si="2"/>
        <v>-</v>
      </c>
      <c r="M49" s="19">
        <f t="shared" si="3"/>
        <v>0</v>
      </c>
      <c r="N49" s="19">
        <f t="shared" si="4"/>
        <v>0</v>
      </c>
      <c r="O49" s="8">
        <f t="shared" si="5"/>
        <v>0</v>
      </c>
      <c r="P49" s="30"/>
      <c r="Q49" s="224" t="s">
        <v>111</v>
      </c>
      <c r="S49" s="146"/>
    </row>
    <row r="50" spans="1:19" ht="13.5" hidden="1" customHeight="1" x14ac:dyDescent="0.2">
      <c r="A50" s="415"/>
      <c r="B50" s="383" t="str">
        <f>IF('Per9'!B50&lt;&gt;"",'Per9'!B50,"")</f>
        <v/>
      </c>
      <c r="C50" s="383"/>
      <c r="D50" s="60" t="str">
        <f>IF('Per9'!D50&lt;&gt;"",'Per9'!D50,"")</f>
        <v/>
      </c>
      <c r="E50" s="143" t="str">
        <f>'Per1'!E50</f>
        <v>Select</v>
      </c>
      <c r="F50" s="144" t="str">
        <f>'Per1'!F50</f>
        <v>Select One</v>
      </c>
      <c r="G50" s="481">
        <f>IF(E50="Hourly",ROUND('Per9'!G50*1.03,2),ROUND('Per9'!G50*1.03,0))</f>
        <v>0</v>
      </c>
      <c r="H50" s="482"/>
      <c r="I50" s="6"/>
      <c r="J50" s="27"/>
      <c r="K50" s="209">
        <f t="shared" si="6"/>
        <v>0</v>
      </c>
      <c r="L50" s="7" t="str">
        <f t="shared" si="2"/>
        <v>-</v>
      </c>
      <c r="M50" s="19">
        <f t="shared" si="3"/>
        <v>0</v>
      </c>
      <c r="N50" s="19">
        <f t="shared" si="4"/>
        <v>0</v>
      </c>
      <c r="O50" s="8">
        <f t="shared" si="5"/>
        <v>0</v>
      </c>
      <c r="P50" s="30"/>
      <c r="Q50" s="14"/>
      <c r="S50" s="146"/>
    </row>
    <row r="51" spans="1:19" ht="13.5" hidden="1" customHeight="1" x14ac:dyDescent="0.2">
      <c r="A51" s="415"/>
      <c r="B51" s="383" t="str">
        <f>IF('Per9'!B51&lt;&gt;"",'Per9'!B51,"")</f>
        <v/>
      </c>
      <c r="C51" s="383"/>
      <c r="D51" s="60" t="str">
        <f>IF('Per9'!D51&lt;&gt;"",'Per9'!D51,"")</f>
        <v/>
      </c>
      <c r="E51" s="143" t="str">
        <f>'Per1'!E51</f>
        <v>Select</v>
      </c>
      <c r="F51" s="144" t="str">
        <f>'Per1'!F51</f>
        <v>Select One</v>
      </c>
      <c r="G51" s="481">
        <f>IF(E51="Hourly",ROUND('Per9'!G51*1.03,2),ROUND('Per9'!G51*1.03,0))</f>
        <v>0</v>
      </c>
      <c r="H51" s="482"/>
      <c r="I51" s="6"/>
      <c r="J51" s="27"/>
      <c r="K51" s="209">
        <f t="shared" si="6"/>
        <v>0</v>
      </c>
      <c r="L51" s="7" t="str">
        <f t="shared" si="2"/>
        <v>-</v>
      </c>
      <c r="M51" s="19">
        <f t="shared" si="3"/>
        <v>0</v>
      </c>
      <c r="N51" s="19">
        <f t="shared" si="4"/>
        <v>0</v>
      </c>
      <c r="O51" s="8">
        <f t="shared" si="5"/>
        <v>0</v>
      </c>
      <c r="P51" s="30"/>
      <c r="Q51" s="14"/>
      <c r="S51" s="146"/>
    </row>
    <row r="52" spans="1:19" ht="13.5" hidden="1" customHeight="1" x14ac:dyDescent="0.2">
      <c r="A52" s="415"/>
      <c r="B52" s="383" t="str">
        <f>IF('Per9'!B52&lt;&gt;"",'Per9'!B52,"")</f>
        <v/>
      </c>
      <c r="C52" s="383"/>
      <c r="D52" s="60" t="str">
        <f>IF('Per9'!D52&lt;&gt;"",'Per9'!D52,"")</f>
        <v/>
      </c>
      <c r="E52" s="143" t="str">
        <f>'Per1'!E52</f>
        <v>Select</v>
      </c>
      <c r="F52" s="144" t="str">
        <f>'Per1'!F52</f>
        <v>Select One</v>
      </c>
      <c r="G52" s="481">
        <f>IF(E52="Hourly",ROUND('Per9'!G52*1.03,2),ROUND('Per9'!G52*1.03,0))</f>
        <v>0</v>
      </c>
      <c r="H52" s="482"/>
      <c r="I52" s="6"/>
      <c r="J52" s="27"/>
      <c r="K52" s="209">
        <f t="shared" si="6"/>
        <v>0</v>
      </c>
      <c r="L52" s="7" t="str">
        <f t="shared" si="2"/>
        <v>-</v>
      </c>
      <c r="M52" s="19">
        <f t="shared" si="3"/>
        <v>0</v>
      </c>
      <c r="N52" s="19">
        <f t="shared" si="4"/>
        <v>0</v>
      </c>
      <c r="O52" s="8">
        <f t="shared" si="5"/>
        <v>0</v>
      </c>
      <c r="P52" s="30"/>
      <c r="Q52" s="14"/>
      <c r="S52" s="146"/>
    </row>
    <row r="53" spans="1:19" ht="13.5" hidden="1" customHeight="1" x14ac:dyDescent="0.2">
      <c r="A53" s="415"/>
      <c r="B53" s="383" t="str">
        <f>IF('Per9'!B53&lt;&gt;"",'Per9'!B53,"")</f>
        <v/>
      </c>
      <c r="C53" s="383"/>
      <c r="D53" s="60" t="str">
        <f>IF('Per9'!D53&lt;&gt;"",'Per9'!D53,"")</f>
        <v/>
      </c>
      <c r="E53" s="143" t="str">
        <f>'Per1'!E53</f>
        <v>Select</v>
      </c>
      <c r="F53" s="144" t="str">
        <f>'Per1'!F53</f>
        <v>Select One</v>
      </c>
      <c r="G53" s="481">
        <f>IF(E53="Hourly",ROUND('Per9'!G53*1.03,2),ROUND('Per9'!G53*1.03,0))</f>
        <v>0</v>
      </c>
      <c r="H53" s="482"/>
      <c r="I53" s="6"/>
      <c r="J53" s="27"/>
      <c r="K53" s="209">
        <f t="shared" si="6"/>
        <v>0</v>
      </c>
      <c r="L53" s="7" t="str">
        <f t="shared" si="2"/>
        <v>-</v>
      </c>
      <c r="M53" s="19">
        <f t="shared" si="3"/>
        <v>0</v>
      </c>
      <c r="N53" s="19">
        <f t="shared" si="4"/>
        <v>0</v>
      </c>
      <c r="O53" s="8">
        <f t="shared" si="5"/>
        <v>0</v>
      </c>
      <c r="P53" s="30"/>
      <c r="Q53" s="14"/>
      <c r="S53" s="146"/>
    </row>
    <row r="54" spans="1:19" ht="13.5" hidden="1" customHeight="1" x14ac:dyDescent="0.2">
      <c r="A54" s="415"/>
      <c r="B54" s="383" t="str">
        <f>IF('Per9'!B54&lt;&gt;"",'Per9'!B54,"")</f>
        <v/>
      </c>
      <c r="C54" s="383"/>
      <c r="D54" s="60" t="str">
        <f>IF('Per9'!D54&lt;&gt;"",'Per9'!D54,"")</f>
        <v/>
      </c>
      <c r="E54" s="143" t="str">
        <f>'Per1'!E54</f>
        <v>Select</v>
      </c>
      <c r="F54" s="144" t="str">
        <f>'Per1'!F54</f>
        <v>Select One</v>
      </c>
      <c r="G54" s="481">
        <f>IF(E54="Hourly",ROUND('Per9'!G54*1.03,2),ROUND('Per9'!G54*1.03,0))</f>
        <v>0</v>
      </c>
      <c r="H54" s="482"/>
      <c r="I54" s="6"/>
      <c r="J54" s="27"/>
      <c r="K54" s="209">
        <f t="shared" si="6"/>
        <v>0</v>
      </c>
      <c r="L54" s="7" t="str">
        <f t="shared" si="2"/>
        <v>-</v>
      </c>
      <c r="M54" s="19">
        <f t="shared" si="3"/>
        <v>0</v>
      </c>
      <c r="N54" s="19">
        <f t="shared" si="4"/>
        <v>0</v>
      </c>
      <c r="O54" s="8">
        <f t="shared" si="5"/>
        <v>0</v>
      </c>
      <c r="P54" s="30"/>
      <c r="Q54" s="14"/>
      <c r="S54" s="146"/>
    </row>
    <row r="55" spans="1:19" ht="13.5" hidden="1" customHeight="1" x14ac:dyDescent="0.2">
      <c r="A55" s="415"/>
      <c r="B55" s="383" t="str">
        <f>IF('Per9'!B55&lt;&gt;"",'Per9'!B55,"")</f>
        <v/>
      </c>
      <c r="C55" s="383"/>
      <c r="D55" s="60" t="str">
        <f>IF('Per9'!D55&lt;&gt;"",'Per9'!D55,"")</f>
        <v/>
      </c>
      <c r="E55" s="143" t="str">
        <f>'Per1'!E55</f>
        <v>Select</v>
      </c>
      <c r="F55" s="144" t="str">
        <f>'Per1'!F55</f>
        <v>Select One</v>
      </c>
      <c r="G55" s="481">
        <f>IF(E55="Hourly",ROUND('Per9'!G55*1.03,2),ROUND('Per9'!G55*1.03,0))</f>
        <v>0</v>
      </c>
      <c r="H55" s="482"/>
      <c r="I55" s="6"/>
      <c r="J55" s="27"/>
      <c r="K55" s="209">
        <f t="shared" si="6"/>
        <v>0</v>
      </c>
      <c r="L55" s="7" t="str">
        <f t="shared" si="2"/>
        <v>-</v>
      </c>
      <c r="M55" s="19">
        <f t="shared" si="3"/>
        <v>0</v>
      </c>
      <c r="N55" s="19">
        <f t="shared" si="4"/>
        <v>0</v>
      </c>
      <c r="O55" s="8">
        <f t="shared" si="5"/>
        <v>0</v>
      </c>
      <c r="P55" s="30"/>
      <c r="Q55" s="14"/>
      <c r="S55" s="146"/>
    </row>
    <row r="56" spans="1:19" ht="13.5" hidden="1" customHeight="1" x14ac:dyDescent="0.2">
      <c r="A56" s="415"/>
      <c r="B56" s="383" t="str">
        <f>IF('Per9'!B56&lt;&gt;"",'Per9'!B56,"")</f>
        <v/>
      </c>
      <c r="C56" s="383"/>
      <c r="D56" s="60" t="str">
        <f>IF('Per9'!D56&lt;&gt;"",'Per9'!D56,"")</f>
        <v/>
      </c>
      <c r="E56" s="143" t="str">
        <f>'Per1'!E56</f>
        <v>Select</v>
      </c>
      <c r="F56" s="144" t="str">
        <f>'Per1'!F56</f>
        <v>Select One</v>
      </c>
      <c r="G56" s="481">
        <f>IF(E56="Hourly",ROUND('Per9'!G56*1.03,2),ROUND('Per9'!G56*1.03,0))</f>
        <v>0</v>
      </c>
      <c r="H56" s="482"/>
      <c r="I56" s="6"/>
      <c r="J56" s="27"/>
      <c r="K56" s="209">
        <f t="shared" si="6"/>
        <v>0</v>
      </c>
      <c r="L56" s="7" t="str">
        <f t="shared" si="2"/>
        <v>-</v>
      </c>
      <c r="M56" s="19">
        <f t="shared" si="3"/>
        <v>0</v>
      </c>
      <c r="N56" s="19">
        <f t="shared" si="4"/>
        <v>0</v>
      </c>
      <c r="O56" s="8">
        <f t="shared" si="5"/>
        <v>0</v>
      </c>
      <c r="P56" s="30"/>
      <c r="Q56" s="14"/>
      <c r="S56" s="146"/>
    </row>
    <row r="57" spans="1:19" ht="13.5" hidden="1" customHeight="1" x14ac:dyDescent="0.2">
      <c r="A57" s="415"/>
      <c r="B57" s="383" t="str">
        <f>IF('Per9'!B57&lt;&gt;"",'Per9'!B57,"")</f>
        <v/>
      </c>
      <c r="C57" s="383"/>
      <c r="D57" s="60" t="str">
        <f>IF('Per9'!D57&lt;&gt;"",'Per9'!D57,"")</f>
        <v/>
      </c>
      <c r="E57" s="143" t="str">
        <f>'Per1'!E57</f>
        <v>Select</v>
      </c>
      <c r="F57" s="144" t="str">
        <f>'Per1'!F57</f>
        <v>Select One</v>
      </c>
      <c r="G57" s="481">
        <f>IF(E57="Hourly",ROUND('Per9'!G57*1.03,2),ROUND('Per9'!G57*1.03,0))</f>
        <v>0</v>
      </c>
      <c r="H57" s="482"/>
      <c r="I57" s="6"/>
      <c r="J57" s="27"/>
      <c r="K57" s="209">
        <f t="shared" si="6"/>
        <v>0</v>
      </c>
      <c r="L57" s="7" t="str">
        <f t="shared" si="2"/>
        <v>-</v>
      </c>
      <c r="M57" s="19">
        <f t="shared" si="3"/>
        <v>0</v>
      </c>
      <c r="N57" s="19">
        <f t="shared" si="4"/>
        <v>0</v>
      </c>
      <c r="O57" s="8">
        <f t="shared" si="5"/>
        <v>0</v>
      </c>
      <c r="P57" s="30"/>
      <c r="Q57" s="14"/>
      <c r="S57" s="146"/>
    </row>
    <row r="58" spans="1:19" ht="13.5" hidden="1" customHeight="1" x14ac:dyDescent="0.2">
      <c r="A58" s="415"/>
      <c r="B58" s="383" t="str">
        <f>IF('Per9'!B58&lt;&gt;"",'Per9'!B58,"")</f>
        <v/>
      </c>
      <c r="C58" s="383"/>
      <c r="D58" s="60" t="str">
        <f>IF('Per9'!D58&lt;&gt;"",'Per9'!D58,"")</f>
        <v/>
      </c>
      <c r="E58" s="143" t="str">
        <f>'Per1'!E58</f>
        <v>Select</v>
      </c>
      <c r="F58" s="144" t="str">
        <f>'Per1'!F58</f>
        <v>Select One</v>
      </c>
      <c r="G58" s="481">
        <f>IF(E58="Hourly",ROUND('Per9'!G58*1.03,2),ROUND('Per9'!G58*1.03,0))</f>
        <v>0</v>
      </c>
      <c r="H58" s="482"/>
      <c r="I58" s="6"/>
      <c r="J58" s="27"/>
      <c r="K58" s="209">
        <f t="shared" si="6"/>
        <v>0</v>
      </c>
      <c r="L58" s="7" t="str">
        <f t="shared" si="2"/>
        <v>-</v>
      </c>
      <c r="M58" s="19">
        <f t="shared" si="3"/>
        <v>0</v>
      </c>
      <c r="N58" s="19">
        <f t="shared" si="4"/>
        <v>0</v>
      </c>
      <c r="O58" s="8">
        <f t="shared" si="5"/>
        <v>0</v>
      </c>
      <c r="P58" s="30"/>
      <c r="Q58" s="14"/>
      <c r="S58" s="146"/>
    </row>
    <row r="59" spans="1:19" ht="13.5" hidden="1" customHeight="1" x14ac:dyDescent="0.2">
      <c r="A59" s="415"/>
      <c r="B59" s="383" t="str">
        <f>IF('Per9'!B59&lt;&gt;"",'Per9'!B59,"")</f>
        <v/>
      </c>
      <c r="C59" s="383"/>
      <c r="D59" s="60" t="str">
        <f>IF('Per9'!D59&lt;&gt;"",'Per9'!D59,"")</f>
        <v/>
      </c>
      <c r="E59" s="143" t="str">
        <f>'Per1'!E59</f>
        <v>Select</v>
      </c>
      <c r="F59" s="144" t="str">
        <f>'Per1'!F59</f>
        <v>Select One</v>
      </c>
      <c r="G59" s="481">
        <f>IF(E59="Hourly",ROUND('Per9'!G59*1.03,2),ROUND('Per9'!G59*1.03,0))</f>
        <v>0</v>
      </c>
      <c r="H59" s="482"/>
      <c r="I59" s="6"/>
      <c r="J59" s="27"/>
      <c r="K59" s="209">
        <f t="shared" si="6"/>
        <v>0</v>
      </c>
      <c r="L59" s="7" t="str">
        <f t="shared" si="2"/>
        <v>-</v>
      </c>
      <c r="M59" s="19">
        <f t="shared" si="3"/>
        <v>0</v>
      </c>
      <c r="N59" s="19">
        <f t="shared" si="4"/>
        <v>0</v>
      </c>
      <c r="O59" s="8">
        <f t="shared" si="5"/>
        <v>0</v>
      </c>
      <c r="P59" s="30"/>
      <c r="Q59" s="14"/>
      <c r="S59" s="146"/>
    </row>
    <row r="60" spans="1:19" ht="13.5" hidden="1" customHeight="1" x14ac:dyDescent="0.2">
      <c r="A60" s="415"/>
      <c r="B60" s="383" t="str">
        <f>IF('Per9'!B60&lt;&gt;"",'Per9'!B60,"")</f>
        <v/>
      </c>
      <c r="C60" s="383"/>
      <c r="D60" s="60" t="str">
        <f>IF('Per9'!D60&lt;&gt;"",'Per9'!D60,"")</f>
        <v/>
      </c>
      <c r="E60" s="143" t="str">
        <f>'Per1'!E60</f>
        <v>Select</v>
      </c>
      <c r="F60" s="144" t="str">
        <f>'Per1'!F60</f>
        <v>Select One</v>
      </c>
      <c r="G60" s="481">
        <f>IF(E60="Hourly",ROUND('Per9'!G60*1.03,2),ROUND('Per9'!G60*1.03,0))</f>
        <v>0</v>
      </c>
      <c r="H60" s="482"/>
      <c r="I60" s="6"/>
      <c r="J60" s="27"/>
      <c r="K60" s="209">
        <f t="shared" si="6"/>
        <v>0</v>
      </c>
      <c r="L60" s="7" t="str">
        <f t="shared" si="2"/>
        <v>-</v>
      </c>
      <c r="M60" s="19">
        <f t="shared" si="3"/>
        <v>0</v>
      </c>
      <c r="N60" s="19">
        <f t="shared" si="4"/>
        <v>0</v>
      </c>
      <c r="O60" s="8">
        <f t="shared" si="5"/>
        <v>0</v>
      </c>
      <c r="P60" s="30"/>
      <c r="Q60" s="14"/>
      <c r="S60" s="146"/>
    </row>
    <row r="61" spans="1:19" ht="13.5" hidden="1" customHeight="1" x14ac:dyDescent="0.2">
      <c r="A61" s="415"/>
      <c r="B61" s="383" t="str">
        <f>IF('Per9'!B61&lt;&gt;"",'Per9'!B61,"")</f>
        <v/>
      </c>
      <c r="C61" s="383"/>
      <c r="D61" s="60" t="str">
        <f>IF('Per9'!D61&lt;&gt;"",'Per9'!D61,"")</f>
        <v/>
      </c>
      <c r="E61" s="143" t="str">
        <f>'Per1'!E61</f>
        <v>Select</v>
      </c>
      <c r="F61" s="144" t="str">
        <f>'Per1'!F61</f>
        <v>Select One</v>
      </c>
      <c r="G61" s="481">
        <f>IF(E61="Hourly",ROUND('Per9'!G61*1.03,2),ROUND('Per9'!G61*1.03,0))</f>
        <v>0</v>
      </c>
      <c r="H61" s="482"/>
      <c r="I61" s="6"/>
      <c r="J61" s="27"/>
      <c r="K61" s="209">
        <f t="shared" si="6"/>
        <v>0</v>
      </c>
      <c r="L61" s="7" t="str">
        <f t="shared" si="2"/>
        <v>-</v>
      </c>
      <c r="M61" s="19">
        <f t="shared" si="3"/>
        <v>0</v>
      </c>
      <c r="N61" s="19">
        <f t="shared" si="4"/>
        <v>0</v>
      </c>
      <c r="O61" s="8">
        <f t="shared" si="5"/>
        <v>0</v>
      </c>
      <c r="P61" s="30"/>
      <c r="Q61" s="14"/>
      <c r="S61" s="146"/>
    </row>
    <row r="62" spans="1:19" ht="13.5" hidden="1" customHeight="1" x14ac:dyDescent="0.2">
      <c r="A62" s="415"/>
      <c r="B62" s="383" t="str">
        <f>IF('Per9'!B62&lt;&gt;"",'Per9'!B62,"")</f>
        <v/>
      </c>
      <c r="C62" s="383"/>
      <c r="D62" s="60" t="str">
        <f>IF('Per9'!D62&lt;&gt;"",'Per9'!D62,"")</f>
        <v/>
      </c>
      <c r="E62" s="143" t="str">
        <f>'Per1'!E62</f>
        <v>Select</v>
      </c>
      <c r="F62" s="144" t="str">
        <f>'Per1'!F62</f>
        <v>Select One</v>
      </c>
      <c r="G62" s="481">
        <f>IF(E62="Hourly",ROUND('Per9'!G62*1.03,2),ROUND('Per9'!G62*1.03,0))</f>
        <v>0</v>
      </c>
      <c r="H62" s="482"/>
      <c r="I62" s="6"/>
      <c r="J62" s="27"/>
      <c r="K62" s="209">
        <f t="shared" si="6"/>
        <v>0</v>
      </c>
      <c r="L62" s="7" t="str">
        <f t="shared" si="2"/>
        <v>-</v>
      </c>
      <c r="M62" s="19">
        <f t="shared" si="3"/>
        <v>0</v>
      </c>
      <c r="N62" s="19">
        <f t="shared" si="4"/>
        <v>0</v>
      </c>
      <c r="O62" s="8">
        <f t="shared" si="5"/>
        <v>0</v>
      </c>
      <c r="P62" s="30"/>
      <c r="Q62" s="14"/>
      <c r="S62" s="146"/>
    </row>
    <row r="63" spans="1:19" ht="13.5" hidden="1" customHeight="1" x14ac:dyDescent="0.2">
      <c r="A63" s="415"/>
      <c r="B63" s="383" t="str">
        <f>IF('Per9'!B63&lt;&gt;"",'Per9'!B63,"")</f>
        <v/>
      </c>
      <c r="C63" s="383"/>
      <c r="D63" s="60" t="str">
        <f>IF('Per9'!D63&lt;&gt;"",'Per9'!D63,"")</f>
        <v/>
      </c>
      <c r="E63" s="143" t="str">
        <f>'Per1'!E63</f>
        <v>Select</v>
      </c>
      <c r="F63" s="144" t="str">
        <f>'Per1'!F63</f>
        <v>Select One</v>
      </c>
      <c r="G63" s="481">
        <f>IF(E63="Hourly",ROUND('Per9'!G63*1.03,2),ROUND('Per9'!G63*1.03,0))</f>
        <v>0</v>
      </c>
      <c r="H63" s="482"/>
      <c r="I63" s="6"/>
      <c r="J63" s="27"/>
      <c r="K63" s="209">
        <f t="shared" si="6"/>
        <v>0</v>
      </c>
      <c r="L63" s="7" t="str">
        <f t="shared" si="2"/>
        <v>-</v>
      </c>
      <c r="M63" s="19">
        <f t="shared" si="3"/>
        <v>0</v>
      </c>
      <c r="N63" s="19">
        <f t="shared" si="4"/>
        <v>0</v>
      </c>
      <c r="O63" s="8">
        <f t="shared" si="5"/>
        <v>0</v>
      </c>
      <c r="P63" s="30"/>
      <c r="Q63" s="14"/>
      <c r="S63" s="146"/>
    </row>
    <row r="64" spans="1:19" ht="13.5" hidden="1" customHeight="1" x14ac:dyDescent="0.2">
      <c r="A64" s="415"/>
      <c r="B64" s="383" t="str">
        <f>IF('Per9'!B64&lt;&gt;"",'Per9'!B64,"")</f>
        <v/>
      </c>
      <c r="C64" s="383"/>
      <c r="D64" s="60" t="str">
        <f>IF('Per9'!D64&lt;&gt;"",'Per9'!D64,"")</f>
        <v/>
      </c>
      <c r="E64" s="143" t="str">
        <f>'Per1'!E64</f>
        <v>Select</v>
      </c>
      <c r="F64" s="144" t="str">
        <f>'Per1'!F64</f>
        <v>Select One</v>
      </c>
      <c r="G64" s="481">
        <f>IF(E64="Hourly",ROUND('Per9'!G64*1.03,2),ROUND('Per9'!G64*1.03,0))</f>
        <v>0</v>
      </c>
      <c r="H64" s="482"/>
      <c r="I64" s="6"/>
      <c r="J64" s="27"/>
      <c r="K64" s="209">
        <f t="shared" si="6"/>
        <v>0</v>
      </c>
      <c r="L64" s="7" t="str">
        <f t="shared" si="2"/>
        <v>-</v>
      </c>
      <c r="M64" s="19">
        <f t="shared" si="3"/>
        <v>0</v>
      </c>
      <c r="N64" s="19">
        <f t="shared" si="4"/>
        <v>0</v>
      </c>
      <c r="O64" s="8">
        <f t="shared" si="5"/>
        <v>0</v>
      </c>
      <c r="P64" s="30"/>
      <c r="S64" s="146"/>
    </row>
    <row r="65" spans="1:19" ht="13.5" hidden="1" customHeight="1" thickBot="1" x14ac:dyDescent="0.25">
      <c r="A65" s="415"/>
      <c r="B65" s="383" t="str">
        <f>IF('Per9'!B65&lt;&gt;"",'Per9'!B65,"")</f>
        <v/>
      </c>
      <c r="C65" s="383"/>
      <c r="D65" s="60" t="str">
        <f>IF('Per9'!D65&lt;&gt;"",'Per9'!D65,"")</f>
        <v/>
      </c>
      <c r="E65" s="143" t="str">
        <f>'Per1'!E65</f>
        <v>Select</v>
      </c>
      <c r="F65" s="144" t="str">
        <f>'Per1'!F65</f>
        <v>Select One</v>
      </c>
      <c r="G65" s="481">
        <f>IF(E65="Hourly",ROUND('Per9'!G65*1.03,2),ROUND('Per9'!G65*1.03,0))</f>
        <v>0</v>
      </c>
      <c r="H65" s="482"/>
      <c r="I65" s="6"/>
      <c r="J65" s="27"/>
      <c r="K65" s="209">
        <f t="shared" si="6"/>
        <v>0</v>
      </c>
      <c r="L65" s="7" t="str">
        <f t="shared" si="2"/>
        <v>-</v>
      </c>
      <c r="M65" s="19">
        <f t="shared" si="3"/>
        <v>0</v>
      </c>
      <c r="N65" s="19">
        <f t="shared" si="4"/>
        <v>0</v>
      </c>
      <c r="O65" s="8">
        <f t="shared" si="5"/>
        <v>0</v>
      </c>
      <c r="P65" s="30"/>
      <c r="S65" s="146"/>
    </row>
    <row r="66" spans="1:19" ht="13.5" customHeight="1" x14ac:dyDescent="0.2">
      <c r="A66" s="415"/>
      <c r="B66" s="504" t="s">
        <v>112</v>
      </c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121" t="s">
        <v>27</v>
      </c>
      <c r="O66" s="139">
        <f>SUM(O67:O68)</f>
        <v>0</v>
      </c>
      <c r="P66" s="147"/>
    </row>
    <row r="67" spans="1:19" ht="13.5" customHeight="1" x14ac:dyDescent="0.2">
      <c r="A67" s="415"/>
      <c r="B67" s="383" t="s">
        <v>113</v>
      </c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4"/>
      <c r="O67" s="11"/>
      <c r="P67" s="30"/>
    </row>
    <row r="68" spans="1:19" ht="13.5" customHeight="1" thickBot="1" x14ac:dyDescent="0.25">
      <c r="A68" s="415"/>
      <c r="B68" s="383" t="s">
        <v>114</v>
      </c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4"/>
      <c r="O68" s="22"/>
      <c r="P68" s="30"/>
    </row>
    <row r="69" spans="1:19" ht="13.5" customHeight="1" x14ac:dyDescent="0.2">
      <c r="A69" s="415"/>
      <c r="B69" s="504" t="s">
        <v>115</v>
      </c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121" t="s">
        <v>27</v>
      </c>
      <c r="O69" s="139">
        <f>SUM(O70,O77:O81)</f>
        <v>0</v>
      </c>
      <c r="P69" s="147"/>
    </row>
    <row r="70" spans="1:19" ht="13.5" customHeight="1" x14ac:dyDescent="0.2">
      <c r="A70" s="415"/>
      <c r="B70" s="523" t="s">
        <v>116</v>
      </c>
      <c r="C70" s="524"/>
      <c r="D70" s="524"/>
      <c r="E70" s="524"/>
      <c r="F70" s="524"/>
      <c r="G70" s="524"/>
      <c r="H70" s="524"/>
      <c r="I70" s="524"/>
      <c r="J70" s="524"/>
      <c r="K70" s="524"/>
      <c r="L70" s="524"/>
      <c r="M70" s="524"/>
      <c r="N70" s="524"/>
      <c r="O70" s="328">
        <f>SUM(N71:N76)</f>
        <v>0</v>
      </c>
      <c r="P70" s="30"/>
    </row>
    <row r="71" spans="1:19" ht="13.5" customHeight="1" x14ac:dyDescent="0.2">
      <c r="A71" s="415"/>
      <c r="B71" s="523" t="s">
        <v>117</v>
      </c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257">
        <v>0</v>
      </c>
      <c r="O71" s="322"/>
      <c r="P71" s="30"/>
    </row>
    <row r="72" spans="1:19" ht="13.5" customHeight="1" x14ac:dyDescent="0.2">
      <c r="A72" s="415"/>
      <c r="B72" s="382" t="s">
        <v>118</v>
      </c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4"/>
      <c r="N72" s="257">
        <v>0</v>
      </c>
      <c r="O72" s="322"/>
      <c r="P72" s="30"/>
    </row>
    <row r="73" spans="1:19" ht="13.5" customHeight="1" x14ac:dyDescent="0.2">
      <c r="A73" s="415"/>
      <c r="B73" s="523" t="s">
        <v>120</v>
      </c>
      <c r="C73" s="524"/>
      <c r="D73" s="524"/>
      <c r="E73" s="524"/>
      <c r="F73" s="524"/>
      <c r="G73" s="524"/>
      <c r="H73" s="524"/>
      <c r="I73" s="524"/>
      <c r="J73" s="524"/>
      <c r="K73" s="524"/>
      <c r="L73" s="524"/>
      <c r="M73" s="524"/>
      <c r="N73" s="257">
        <v>0</v>
      </c>
      <c r="O73" s="322"/>
      <c r="P73" s="30"/>
    </row>
    <row r="74" spans="1:19" ht="13.5" customHeight="1" x14ac:dyDescent="0.2">
      <c r="A74" s="415"/>
      <c r="B74" s="523" t="s">
        <v>121</v>
      </c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257">
        <v>0</v>
      </c>
      <c r="O74" s="322"/>
      <c r="P74" s="30"/>
    </row>
    <row r="75" spans="1:19" ht="13.5" customHeight="1" x14ac:dyDescent="0.2">
      <c r="A75" s="415"/>
      <c r="B75" s="523" t="s">
        <v>122</v>
      </c>
      <c r="C75" s="524"/>
      <c r="D75" s="524"/>
      <c r="E75" s="524"/>
      <c r="F75" s="524"/>
      <c r="G75" s="524"/>
      <c r="H75" s="524"/>
      <c r="I75" s="524"/>
      <c r="J75" s="524"/>
      <c r="K75" s="524"/>
      <c r="L75" s="524"/>
      <c r="M75" s="524"/>
      <c r="N75" s="257">
        <v>0</v>
      </c>
      <c r="O75" s="322"/>
      <c r="P75" s="30"/>
    </row>
    <row r="76" spans="1:19" ht="13.5" customHeight="1" x14ac:dyDescent="0.2">
      <c r="A76" s="415"/>
      <c r="B76" s="523" t="s">
        <v>123</v>
      </c>
      <c r="C76" s="524"/>
      <c r="D76" s="524"/>
      <c r="E76" s="524"/>
      <c r="F76" s="524"/>
      <c r="G76" s="524"/>
      <c r="H76" s="524"/>
      <c r="I76" s="524"/>
      <c r="J76" s="524"/>
      <c r="K76" s="524"/>
      <c r="L76" s="524"/>
      <c r="M76" s="524"/>
      <c r="N76" s="257">
        <v>0</v>
      </c>
      <c r="O76" s="322"/>
      <c r="P76" s="30"/>
    </row>
    <row r="77" spans="1:19" ht="13.5" customHeight="1" x14ac:dyDescent="0.2">
      <c r="A77" s="415"/>
      <c r="B77" s="523" t="s">
        <v>124</v>
      </c>
      <c r="C77" s="524"/>
      <c r="D77" s="524"/>
      <c r="E77" s="524"/>
      <c r="F77" s="524"/>
      <c r="G77" s="524"/>
      <c r="H77" s="524"/>
      <c r="I77" s="524"/>
      <c r="J77" s="524"/>
      <c r="K77" s="524"/>
      <c r="L77" s="524"/>
      <c r="M77" s="524"/>
      <c r="N77" s="524"/>
      <c r="O77" s="258">
        <v>0</v>
      </c>
      <c r="P77" s="30"/>
    </row>
    <row r="78" spans="1:19" ht="13.5" customHeight="1" x14ac:dyDescent="0.2">
      <c r="A78" s="415"/>
      <c r="B78" s="382" t="s">
        <v>125</v>
      </c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4"/>
      <c r="O78" s="258">
        <v>0</v>
      </c>
      <c r="P78" s="30"/>
      <c r="Q78" s="14" t="s">
        <v>127</v>
      </c>
    </row>
    <row r="79" spans="1:19" ht="13.5" customHeight="1" x14ac:dyDescent="0.2">
      <c r="A79" s="415"/>
      <c r="B79" s="523" t="s">
        <v>126</v>
      </c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258">
        <v>0</v>
      </c>
      <c r="P79" s="30"/>
    </row>
    <row r="80" spans="1:19" ht="13.5" customHeight="1" x14ac:dyDescent="0.2">
      <c r="A80" s="415"/>
      <c r="B80" s="523" t="s">
        <v>128</v>
      </c>
      <c r="C80" s="524"/>
      <c r="D80" s="524"/>
      <c r="E80" s="524"/>
      <c r="F80" s="524"/>
      <c r="G80" s="524"/>
      <c r="H80" s="524"/>
      <c r="I80" s="524"/>
      <c r="J80" s="524"/>
      <c r="K80" s="524"/>
      <c r="L80" s="524"/>
      <c r="M80" s="524"/>
      <c r="N80" s="524"/>
      <c r="O80" s="258">
        <v>0</v>
      </c>
      <c r="P80" s="30"/>
    </row>
    <row r="81" spans="1:17" ht="13.5" customHeight="1" thickBot="1" x14ac:dyDescent="0.25">
      <c r="A81" s="416"/>
      <c r="B81" s="564" t="s">
        <v>129</v>
      </c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16">
        <v>0</v>
      </c>
      <c r="P81" s="30"/>
      <c r="Q81" s="224" t="s">
        <v>199</v>
      </c>
    </row>
    <row r="82" spans="1:17" ht="18" customHeight="1" thickBot="1" x14ac:dyDescent="0.25">
      <c r="A82" s="540"/>
      <c r="B82" s="540"/>
      <c r="C82" s="540"/>
      <c r="D82" s="540"/>
      <c r="E82" s="540"/>
      <c r="F82" s="540"/>
      <c r="G82" s="540"/>
      <c r="H82" s="540"/>
      <c r="I82" s="540"/>
      <c r="J82" s="540"/>
      <c r="K82" s="540"/>
      <c r="L82" s="540"/>
      <c r="M82" s="540"/>
      <c r="N82" s="540"/>
      <c r="O82" s="540"/>
      <c r="P82" s="31"/>
      <c r="Q82" s="256" t="s">
        <v>130</v>
      </c>
    </row>
    <row r="83" spans="1:17" ht="13.5" customHeight="1" x14ac:dyDescent="0.2">
      <c r="A83" s="414" t="s">
        <v>131</v>
      </c>
      <c r="B83" s="495" t="s">
        <v>132</v>
      </c>
      <c r="C83" s="495"/>
      <c r="D83" s="495"/>
      <c r="E83" s="495"/>
      <c r="F83" s="495"/>
      <c r="G83" s="495"/>
      <c r="H83" s="495"/>
      <c r="I83" s="495"/>
      <c r="J83" s="495"/>
      <c r="K83" s="495"/>
      <c r="L83" s="495"/>
      <c r="M83" s="495"/>
      <c r="N83" s="121" t="s">
        <v>27</v>
      </c>
      <c r="O83" s="139">
        <f>SUM(O84:O86)</f>
        <v>0</v>
      </c>
      <c r="P83" s="147"/>
    </row>
    <row r="84" spans="1:17" ht="13.5" customHeight="1" x14ac:dyDescent="0.2">
      <c r="A84" s="415"/>
      <c r="B84" s="383" t="s">
        <v>133</v>
      </c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4"/>
      <c r="O84" s="15"/>
      <c r="P84" s="30"/>
    </row>
    <row r="85" spans="1:17" ht="13.5" customHeight="1" x14ac:dyDescent="0.2">
      <c r="A85" s="415"/>
      <c r="B85" s="383" t="s">
        <v>134</v>
      </c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4"/>
      <c r="O85" s="9"/>
      <c r="P85" s="30"/>
    </row>
    <row r="86" spans="1:17" ht="13.5" customHeight="1" thickBot="1" x14ac:dyDescent="0.25">
      <c r="A86" s="415"/>
      <c r="B86" s="501" t="s">
        <v>135</v>
      </c>
      <c r="C86" s="501"/>
      <c r="D86" s="501"/>
      <c r="E86" s="501"/>
      <c r="F86" s="501"/>
      <c r="G86" s="501"/>
      <c r="H86" s="501"/>
      <c r="I86" s="501"/>
      <c r="J86" s="501"/>
      <c r="K86" s="501"/>
      <c r="L86" s="501"/>
      <c r="M86" s="501"/>
      <c r="N86" s="502"/>
      <c r="O86" s="10"/>
      <c r="P86" s="30"/>
    </row>
    <row r="87" spans="1:17" ht="13.5" customHeight="1" x14ac:dyDescent="0.2">
      <c r="A87" s="415"/>
      <c r="B87" s="504" t="s">
        <v>136</v>
      </c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121" t="s">
        <v>27</v>
      </c>
      <c r="O87" s="139">
        <f>SUM(O88:O91)</f>
        <v>0</v>
      </c>
      <c r="P87" s="147"/>
    </row>
    <row r="88" spans="1:17" ht="13.5" customHeight="1" x14ac:dyDescent="0.2">
      <c r="A88" s="415"/>
      <c r="B88" s="506" t="s">
        <v>137</v>
      </c>
      <c r="C88" s="506"/>
      <c r="D88" s="506"/>
      <c r="E88" s="506"/>
      <c r="F88" s="506"/>
      <c r="G88" s="506"/>
      <c r="H88" s="506"/>
      <c r="I88" s="506"/>
      <c r="J88" s="506"/>
      <c r="K88" s="506"/>
      <c r="L88" s="506"/>
      <c r="M88" s="506"/>
      <c r="N88" s="507"/>
      <c r="O88" s="11"/>
      <c r="P88" s="30"/>
    </row>
    <row r="89" spans="1:17" ht="13.5" customHeight="1" x14ac:dyDescent="0.2">
      <c r="A89" s="415"/>
      <c r="B89" s="509" t="s">
        <v>138</v>
      </c>
      <c r="C89" s="509"/>
      <c r="D89" s="509"/>
      <c r="E89" s="509"/>
      <c r="F89" s="509"/>
      <c r="G89" s="509"/>
      <c r="H89" s="509"/>
      <c r="I89" s="509"/>
      <c r="J89" s="509"/>
      <c r="K89" s="509"/>
      <c r="L89" s="509"/>
      <c r="M89" s="509"/>
      <c r="N89" s="510"/>
      <c r="O89" s="13"/>
      <c r="P89" s="30"/>
      <c r="Q89" s="14" t="s">
        <v>139</v>
      </c>
    </row>
    <row r="90" spans="1:17" ht="13.5" customHeight="1" x14ac:dyDescent="0.2">
      <c r="A90" s="415"/>
      <c r="B90" s="383" t="s">
        <v>140</v>
      </c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4"/>
      <c r="O90" s="13"/>
      <c r="P90" s="30"/>
    </row>
    <row r="91" spans="1:17" ht="13.5" customHeight="1" thickBot="1" x14ac:dyDescent="0.25">
      <c r="A91" s="415"/>
      <c r="B91" s="501" t="s">
        <v>141</v>
      </c>
      <c r="C91" s="501"/>
      <c r="D91" s="501"/>
      <c r="E91" s="501"/>
      <c r="F91" s="501"/>
      <c r="G91" s="501"/>
      <c r="H91" s="501"/>
      <c r="I91" s="501"/>
      <c r="J91" s="501"/>
      <c r="K91" s="501"/>
      <c r="L91" s="501"/>
      <c r="M91" s="501"/>
      <c r="N91" s="502"/>
      <c r="O91" s="16"/>
      <c r="P91" s="30"/>
      <c r="Q91" s="14" t="s">
        <v>142</v>
      </c>
    </row>
    <row r="92" spans="1:17" ht="13.5" customHeight="1" x14ac:dyDescent="0.2">
      <c r="A92" s="415"/>
      <c r="B92" s="563" t="s">
        <v>143</v>
      </c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121" t="s">
        <v>27</v>
      </c>
      <c r="O92" s="148">
        <f>SUM(O93:O97)</f>
        <v>0</v>
      </c>
      <c r="P92" s="147"/>
    </row>
    <row r="93" spans="1:17" ht="13.5" customHeight="1" x14ac:dyDescent="0.2">
      <c r="A93" s="415"/>
      <c r="B93" s="388" t="s">
        <v>144</v>
      </c>
      <c r="C93" s="389"/>
      <c r="D93" s="389"/>
      <c r="E93" s="389"/>
      <c r="F93" s="389"/>
      <c r="G93" s="389"/>
      <c r="H93" s="389"/>
      <c r="I93" s="389"/>
      <c r="J93" s="389"/>
      <c r="K93" s="389"/>
      <c r="L93" s="389"/>
      <c r="M93" s="389"/>
      <c r="N93" s="390"/>
      <c r="O93" s="149"/>
      <c r="P93" s="147"/>
      <c r="Q93" s="14" t="s">
        <v>145</v>
      </c>
    </row>
    <row r="94" spans="1:17" ht="13.5" customHeight="1" x14ac:dyDescent="0.2">
      <c r="A94" s="415"/>
      <c r="B94" s="383" t="s">
        <v>146</v>
      </c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4"/>
      <c r="O94" s="13"/>
      <c r="P94" s="30"/>
    </row>
    <row r="95" spans="1:17" ht="13.5" customHeight="1" x14ac:dyDescent="0.2">
      <c r="A95" s="415"/>
      <c r="B95" s="383" t="s">
        <v>147</v>
      </c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4"/>
      <c r="O95" s="12"/>
      <c r="P95" s="30"/>
    </row>
    <row r="96" spans="1:17" ht="13.5" customHeight="1" x14ac:dyDescent="0.2">
      <c r="A96" s="415"/>
      <c r="B96" s="382" t="s">
        <v>148</v>
      </c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4"/>
      <c r="O96" s="12"/>
      <c r="P96" s="30"/>
    </row>
    <row r="97" spans="1:17" ht="13.5" customHeight="1" thickBot="1" x14ac:dyDescent="0.25">
      <c r="A97" s="415"/>
      <c r="B97" s="382" t="s">
        <v>149</v>
      </c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4"/>
      <c r="O97" s="12"/>
      <c r="P97" s="30"/>
    </row>
    <row r="98" spans="1:17" ht="18" customHeight="1" thickBot="1" x14ac:dyDescent="0.25">
      <c r="A98" s="18"/>
      <c r="B98" s="467"/>
      <c r="C98" s="467"/>
      <c r="D98" s="467"/>
      <c r="E98" s="467"/>
      <c r="F98" s="467"/>
      <c r="G98" s="467"/>
      <c r="H98" s="467"/>
      <c r="I98" s="467"/>
      <c r="J98" s="467"/>
      <c r="K98" s="467"/>
      <c r="L98" s="467"/>
      <c r="M98" s="467"/>
      <c r="N98" s="467"/>
      <c r="O98" s="467"/>
      <c r="P98" s="32"/>
    </row>
    <row r="99" spans="1:17" ht="13.5" customHeight="1" x14ac:dyDescent="0.2">
      <c r="A99" s="414" t="s">
        <v>150</v>
      </c>
      <c r="B99" s="469" t="s">
        <v>151</v>
      </c>
      <c r="C99" s="560"/>
      <c r="D99" s="560"/>
      <c r="E99" s="560"/>
      <c r="F99" s="560"/>
      <c r="G99" s="560"/>
      <c r="H99" s="560"/>
      <c r="I99" s="560"/>
      <c r="J99" s="560"/>
      <c r="K99" s="560"/>
      <c r="L99" s="560"/>
      <c r="M99" s="560"/>
      <c r="N99" s="36" t="s">
        <v>152</v>
      </c>
      <c r="O99" s="236">
        <f>J121</f>
        <v>0</v>
      </c>
      <c r="P99" s="30"/>
    </row>
    <row r="100" spans="1:17" ht="42.75" customHeight="1" x14ac:dyDescent="0.2">
      <c r="A100" s="415"/>
      <c r="B100" s="470" t="s">
        <v>153</v>
      </c>
      <c r="C100" s="21" t="s">
        <v>154</v>
      </c>
      <c r="D100" s="21"/>
      <c r="E100" s="21"/>
      <c r="F100" s="473" t="s">
        <v>155</v>
      </c>
      <c r="G100" s="474"/>
      <c r="H100" s="475" t="s">
        <v>156</v>
      </c>
      <c r="I100" s="475"/>
      <c r="J100" s="61" t="s">
        <v>157</v>
      </c>
      <c r="K100" s="242" t="s">
        <v>158</v>
      </c>
      <c r="L100" s="243" t="s">
        <v>159</v>
      </c>
      <c r="M100" s="244" t="s">
        <v>160</v>
      </c>
      <c r="N100" s="367" t="s">
        <v>161</v>
      </c>
      <c r="O100" s="368"/>
    </row>
    <row r="101" spans="1:17" ht="13.5" customHeight="1" x14ac:dyDescent="0.2">
      <c r="A101" s="415"/>
      <c r="B101" s="471"/>
      <c r="C101" s="372">
        <f>'Per1'!C101:E101</f>
        <v>0</v>
      </c>
      <c r="D101" s="373"/>
      <c r="E101" s="374"/>
      <c r="F101" s="393">
        <v>0</v>
      </c>
      <c r="G101" s="393"/>
      <c r="H101" s="393"/>
      <c r="I101" s="393"/>
      <c r="J101" s="330">
        <f>F101+H101</f>
        <v>0</v>
      </c>
      <c r="K101" s="245">
        <f>IF((J101+'Per1'!J101+'Per2'!J101+'Per3'!J101+'Per4'!J101+'Per5'!J101+'Per6'!J101+'Per7'!J101+'Per8'!J101+'Per9'!J101)&lt;=24999,J101, 25000-'Per1'!K101-'Per2'!K101-'Per3'!K101-'Per4'!K101-'Per5'!K101-'Per6'!K101-'Per7'!K101-'Per8'!K101-'Per9'!K101)</f>
        <v>0</v>
      </c>
      <c r="L101" s="331">
        <f>F101+H101-K101</f>
        <v>0</v>
      </c>
      <c r="M101" s="331">
        <f t="shared" ref="M101:M120" si="7">ROUND(IF(($L$7-VLOOKUP($G$123,$I$124:$K$142,3,FALSE))&lt;0,$K101,ROUND((1-($L$7-VLOOKUP($G$123,$I$124:$K$142,3,FALSE))/($L$7 +1 - $L$5))*$K101,0))*M$147,0) +ROUND(IF(($L$7-VLOOKUP($G$123,$I$124:$K$142,3,FALSE))&lt;0,0,ROUND(($L$7-VLOOKUP($G$123,$I$124:$K$142,3,FALSE))/($L$7 +1 - $L$5)*$K101,0))*M$148,0)</f>
        <v>0</v>
      </c>
      <c r="N101" s="365">
        <f>K101+L101+M101</f>
        <v>0</v>
      </c>
      <c r="O101" s="366"/>
    </row>
    <row r="102" spans="1:17" ht="13.5" customHeight="1" x14ac:dyDescent="0.2">
      <c r="A102" s="415"/>
      <c r="B102" s="471"/>
      <c r="C102" s="372">
        <f>'Per1'!C102:E102</f>
        <v>0</v>
      </c>
      <c r="D102" s="373"/>
      <c r="E102" s="374"/>
      <c r="F102" s="393"/>
      <c r="G102" s="393"/>
      <c r="H102" s="393"/>
      <c r="I102" s="393"/>
      <c r="J102" s="330">
        <f t="shared" ref="J102:J120" si="8">F102+H102</f>
        <v>0</v>
      </c>
      <c r="K102" s="245">
        <f>IF((J102+'Per1'!J102+'Per2'!J102+'Per3'!J102+'Per4'!J102+'Per5'!J102+'Per6'!J102+'Per7'!J102+'Per8'!J102+'Per9'!J102)&lt;=24999,J102, 25000-'Per1'!K102-'Per2'!K102-'Per3'!K102-'Per4'!K102-'Per5'!K102-'Per6'!K102-'Per7'!K102-'Per8'!K102-'Per9'!K102)</f>
        <v>0</v>
      </c>
      <c r="L102" s="331">
        <f>F102+H102-K102</f>
        <v>0</v>
      </c>
      <c r="M102" s="331">
        <f t="shared" si="7"/>
        <v>0</v>
      </c>
      <c r="N102" s="365">
        <f t="shared" ref="N102:N120" si="9">K102+L102+M102</f>
        <v>0</v>
      </c>
      <c r="O102" s="366"/>
    </row>
    <row r="103" spans="1:17" ht="13.5" customHeight="1" x14ac:dyDescent="0.2">
      <c r="A103" s="415"/>
      <c r="B103" s="471"/>
      <c r="C103" s="372">
        <f>'Per1'!C103:E103</f>
        <v>0</v>
      </c>
      <c r="D103" s="373"/>
      <c r="E103" s="374"/>
      <c r="F103" s="393"/>
      <c r="G103" s="393"/>
      <c r="H103" s="393"/>
      <c r="I103" s="393"/>
      <c r="J103" s="330">
        <f t="shared" si="8"/>
        <v>0</v>
      </c>
      <c r="K103" s="245">
        <f>IF((J103+'Per1'!J103+'Per2'!J103+'Per3'!J103+'Per4'!J103+'Per5'!J103+'Per6'!J103+'Per7'!J103+'Per8'!J103+'Per9'!J103)&lt;=24999,J103, 25000-'Per1'!K103-'Per2'!K103-'Per3'!K103-'Per4'!K103-'Per5'!K103-'Per6'!K103-'Per7'!K103-'Per8'!K103-'Per9'!K103)</f>
        <v>0</v>
      </c>
      <c r="L103" s="331">
        <f>F103+H103-K103</f>
        <v>0</v>
      </c>
      <c r="M103" s="331">
        <f t="shared" si="7"/>
        <v>0</v>
      </c>
      <c r="N103" s="365">
        <f t="shared" si="9"/>
        <v>0</v>
      </c>
      <c r="O103" s="366"/>
    </row>
    <row r="104" spans="1:17" ht="13.5" customHeight="1" x14ac:dyDescent="0.2">
      <c r="A104" s="415"/>
      <c r="B104" s="471"/>
      <c r="C104" s="372">
        <f>'Per1'!C104:E104</f>
        <v>0</v>
      </c>
      <c r="D104" s="373"/>
      <c r="E104" s="374"/>
      <c r="F104" s="393"/>
      <c r="G104" s="393"/>
      <c r="H104" s="393"/>
      <c r="I104" s="393"/>
      <c r="J104" s="330">
        <f t="shared" si="8"/>
        <v>0</v>
      </c>
      <c r="K104" s="245">
        <f>IF((J104+'Per1'!J104+'Per2'!J104+'Per3'!J104+'Per4'!J104+'Per5'!J104+'Per6'!J104+'Per7'!J104+'Per8'!J104+'Per9'!J104)&lt;=24999,J104, 25000-'Per1'!K104-'Per2'!K104-'Per3'!K104-'Per4'!K104-'Per5'!K104-'Per6'!K104-'Per7'!K104-'Per8'!K104-'Per9'!K104)</f>
        <v>0</v>
      </c>
      <c r="L104" s="331">
        <f>F104+H104-K104</f>
        <v>0</v>
      </c>
      <c r="M104" s="331">
        <f t="shared" si="7"/>
        <v>0</v>
      </c>
      <c r="N104" s="365">
        <f t="shared" si="9"/>
        <v>0</v>
      </c>
      <c r="O104" s="366"/>
    </row>
    <row r="105" spans="1:17" ht="13.5" customHeight="1" x14ac:dyDescent="0.2">
      <c r="A105" s="415"/>
      <c r="B105" s="471"/>
      <c r="C105" s="372">
        <f>'Per1'!C105:E105</f>
        <v>0</v>
      </c>
      <c r="D105" s="373"/>
      <c r="E105" s="374"/>
      <c r="F105" s="375"/>
      <c r="G105" s="375"/>
      <c r="H105" s="375"/>
      <c r="I105" s="375"/>
      <c r="J105" s="332">
        <f t="shared" si="8"/>
        <v>0</v>
      </c>
      <c r="K105" s="245">
        <f>IF((J105+'Per1'!J105+'Per2'!J105+'Per3'!J105+'Per4'!J105+'Per5'!J105+'Per6'!J105+'Per7'!J105+'Per8'!J105+'Per9'!J105)&lt;=24999,J105, 25000-'Per1'!K105-'Per2'!K105-'Per3'!K105-'Per4'!K105-'Per5'!K105-'Per6'!K105-'Per7'!K105-'Per8'!K105-'Per9'!K105)</f>
        <v>0</v>
      </c>
      <c r="L105" s="333">
        <f>F105+H105-K105</f>
        <v>0</v>
      </c>
      <c r="M105" s="331">
        <f t="shared" si="7"/>
        <v>0</v>
      </c>
      <c r="N105" s="561">
        <f t="shared" si="9"/>
        <v>0</v>
      </c>
      <c r="O105" s="562"/>
      <c r="Q105" s="224" t="s">
        <v>162</v>
      </c>
    </row>
    <row r="106" spans="1:17" ht="13.5" customHeight="1" thickBot="1" x14ac:dyDescent="0.25">
      <c r="A106" s="415"/>
      <c r="B106" s="471"/>
      <c r="C106" s="372">
        <f>'Per1'!C106:E106</f>
        <v>0</v>
      </c>
      <c r="D106" s="373"/>
      <c r="E106" s="374"/>
      <c r="F106" s="375"/>
      <c r="G106" s="375"/>
      <c r="H106" s="375"/>
      <c r="I106" s="375"/>
      <c r="J106" s="332">
        <f t="shared" si="8"/>
        <v>0</v>
      </c>
      <c r="K106" s="245">
        <f>IF((J106+'Per1'!J106+'Per2'!J106+'Per3'!J106+'Per4'!J106+'Per5'!J106+'Per6'!J106+'Per7'!J106+'Per8'!J106+'Per9'!J106)&lt;=24999,J106, 25000-'Per1'!K106-'Per2'!K106-'Per3'!K106-'Per4'!K106-'Per5'!K106-'Per6'!K106-'Per7'!K106-'Per8'!K106-'Per9'!K106)</f>
        <v>0</v>
      </c>
      <c r="L106" s="333">
        <f t="shared" ref="L106:L120" si="10">F106+H106-K106</f>
        <v>0</v>
      </c>
      <c r="M106" s="331">
        <f t="shared" si="7"/>
        <v>0</v>
      </c>
      <c r="N106" s="365">
        <f t="shared" si="9"/>
        <v>0</v>
      </c>
      <c r="O106" s="366"/>
    </row>
    <row r="107" spans="1:17" ht="13.5" hidden="1" customHeight="1" x14ac:dyDescent="0.2">
      <c r="A107" s="415"/>
      <c r="B107" s="471"/>
      <c r="C107" s="372">
        <f>'Per1'!C107:E107</f>
        <v>0</v>
      </c>
      <c r="D107" s="373"/>
      <c r="E107" s="374"/>
      <c r="F107" s="375"/>
      <c r="G107" s="375"/>
      <c r="H107" s="375"/>
      <c r="I107" s="375"/>
      <c r="J107" s="332">
        <f t="shared" si="8"/>
        <v>0</v>
      </c>
      <c r="K107" s="245">
        <f>IF((J107+'Per1'!J107+'Per2'!J107+'Per3'!J107+'Per4'!J107+'Per5'!J107+'Per6'!J107+'Per7'!J107+'Per8'!J107+'Per9'!J107)&lt;=24999,J107, 25000-'Per1'!K107-'Per2'!K107-'Per3'!K107-'Per4'!K107-'Per5'!K107-'Per6'!K107-'Per7'!K107-'Per8'!K107-'Per9'!K107)</f>
        <v>0</v>
      </c>
      <c r="L107" s="333">
        <f t="shared" si="10"/>
        <v>0</v>
      </c>
      <c r="M107" s="331">
        <f t="shared" si="7"/>
        <v>0</v>
      </c>
      <c r="N107" s="365">
        <f t="shared" si="9"/>
        <v>0</v>
      </c>
      <c r="O107" s="366"/>
    </row>
    <row r="108" spans="1:17" ht="13.5" hidden="1" customHeight="1" x14ac:dyDescent="0.2">
      <c r="A108" s="415"/>
      <c r="B108" s="471"/>
      <c r="C108" s="372">
        <f>'Per1'!C108:E108</f>
        <v>0</v>
      </c>
      <c r="D108" s="373"/>
      <c r="E108" s="374"/>
      <c r="F108" s="375"/>
      <c r="G108" s="375"/>
      <c r="H108" s="375"/>
      <c r="I108" s="375"/>
      <c r="J108" s="332">
        <f t="shared" si="8"/>
        <v>0</v>
      </c>
      <c r="K108" s="245">
        <f>IF((J108+'Per1'!J108+'Per2'!J108+'Per3'!J108+'Per4'!J108+'Per5'!J108+'Per6'!J108+'Per7'!J108+'Per8'!J108+'Per9'!J108)&lt;=24999,J108, 25000-'Per1'!K108-'Per2'!K108-'Per3'!K108-'Per4'!K108-'Per5'!K108-'Per6'!K108-'Per7'!K108-'Per8'!K108-'Per9'!K108)</f>
        <v>0</v>
      </c>
      <c r="L108" s="333">
        <f t="shared" si="10"/>
        <v>0</v>
      </c>
      <c r="M108" s="331">
        <f t="shared" si="7"/>
        <v>0</v>
      </c>
      <c r="N108" s="365">
        <f t="shared" si="9"/>
        <v>0</v>
      </c>
      <c r="O108" s="366"/>
    </row>
    <row r="109" spans="1:17" ht="13.5" hidden="1" customHeight="1" x14ac:dyDescent="0.2">
      <c r="A109" s="415"/>
      <c r="B109" s="471"/>
      <c r="C109" s="372">
        <f>'Per1'!C109:E109</f>
        <v>0</v>
      </c>
      <c r="D109" s="373"/>
      <c r="E109" s="374"/>
      <c r="F109" s="375"/>
      <c r="G109" s="375"/>
      <c r="H109" s="375"/>
      <c r="I109" s="375"/>
      <c r="J109" s="332">
        <f t="shared" si="8"/>
        <v>0</v>
      </c>
      <c r="K109" s="245">
        <f>IF((J109+'Per1'!J109+'Per2'!J109+'Per3'!J109+'Per4'!J109+'Per5'!J109+'Per6'!J109+'Per7'!J109+'Per8'!J109+'Per9'!J109)&lt;=24999,J109, 25000-'Per1'!K109-'Per2'!K109-'Per3'!K109-'Per4'!K109-'Per5'!K109-'Per6'!K109-'Per7'!K109-'Per8'!K109-'Per9'!K109)</f>
        <v>0</v>
      </c>
      <c r="L109" s="333">
        <f t="shared" si="10"/>
        <v>0</v>
      </c>
      <c r="M109" s="331">
        <f t="shared" si="7"/>
        <v>0</v>
      </c>
      <c r="N109" s="365">
        <f t="shared" si="9"/>
        <v>0</v>
      </c>
      <c r="O109" s="366"/>
    </row>
    <row r="110" spans="1:17" ht="13.5" hidden="1" customHeight="1" x14ac:dyDescent="0.2">
      <c r="A110" s="415"/>
      <c r="B110" s="471"/>
      <c r="C110" s="372">
        <f>'Per1'!C110:E110</f>
        <v>0</v>
      </c>
      <c r="D110" s="373"/>
      <c r="E110" s="374"/>
      <c r="F110" s="375"/>
      <c r="G110" s="375"/>
      <c r="H110" s="375"/>
      <c r="I110" s="375"/>
      <c r="J110" s="332">
        <f t="shared" si="8"/>
        <v>0</v>
      </c>
      <c r="K110" s="245">
        <f>IF((J110+'Per1'!J110+'Per2'!J110+'Per3'!J110+'Per4'!J110+'Per5'!J110+'Per6'!J110+'Per7'!J110+'Per8'!J110+'Per9'!J110)&lt;=24999,J110, 25000-'Per1'!K110-'Per2'!K110-'Per3'!K110-'Per4'!K110-'Per5'!K110-'Per6'!K110-'Per7'!K110-'Per8'!K110-'Per9'!K110)</f>
        <v>0</v>
      </c>
      <c r="L110" s="333">
        <f t="shared" si="10"/>
        <v>0</v>
      </c>
      <c r="M110" s="331">
        <f t="shared" si="7"/>
        <v>0</v>
      </c>
      <c r="N110" s="365">
        <f t="shared" si="9"/>
        <v>0</v>
      </c>
      <c r="O110" s="366"/>
    </row>
    <row r="111" spans="1:17" ht="13.5" hidden="1" customHeight="1" x14ac:dyDescent="0.2">
      <c r="A111" s="415"/>
      <c r="B111" s="471"/>
      <c r="C111" s="372">
        <f>'Per1'!C111:E111</f>
        <v>0</v>
      </c>
      <c r="D111" s="373"/>
      <c r="E111" s="374"/>
      <c r="F111" s="375"/>
      <c r="G111" s="375"/>
      <c r="H111" s="375"/>
      <c r="I111" s="375"/>
      <c r="J111" s="332">
        <f t="shared" si="8"/>
        <v>0</v>
      </c>
      <c r="K111" s="245">
        <f>IF((J111+'Per1'!J111+'Per2'!J111+'Per3'!J111+'Per4'!J111+'Per5'!J111+'Per6'!J111+'Per7'!J111+'Per8'!J111+'Per9'!J111)&lt;=24999,J111, 25000-'Per1'!K111-'Per2'!K111-'Per3'!K111-'Per4'!K111-'Per5'!K111-'Per6'!K111-'Per7'!K111-'Per8'!K111-'Per9'!K111)</f>
        <v>0</v>
      </c>
      <c r="L111" s="333">
        <f t="shared" si="10"/>
        <v>0</v>
      </c>
      <c r="M111" s="331">
        <f t="shared" si="7"/>
        <v>0</v>
      </c>
      <c r="N111" s="365">
        <f t="shared" si="9"/>
        <v>0</v>
      </c>
      <c r="O111" s="366"/>
    </row>
    <row r="112" spans="1:17" ht="13.5" hidden="1" customHeight="1" x14ac:dyDescent="0.2">
      <c r="A112" s="415"/>
      <c r="B112" s="471"/>
      <c r="C112" s="372">
        <f>'Per1'!C112:E112</f>
        <v>0</v>
      </c>
      <c r="D112" s="373"/>
      <c r="E112" s="374"/>
      <c r="F112" s="375"/>
      <c r="G112" s="375"/>
      <c r="H112" s="375"/>
      <c r="I112" s="375"/>
      <c r="J112" s="332">
        <f t="shared" si="8"/>
        <v>0</v>
      </c>
      <c r="K112" s="245">
        <f>IF((J112+'Per1'!J112+'Per2'!J112+'Per3'!J112+'Per4'!J112+'Per5'!J112+'Per6'!J112+'Per7'!J112+'Per8'!J112+'Per9'!J112)&lt;=24999,J112, 25000-'Per1'!K112-'Per2'!K112-'Per3'!K112-'Per4'!K112-'Per5'!K112-'Per6'!K112-'Per7'!K112-'Per8'!K112-'Per9'!K112)</f>
        <v>0</v>
      </c>
      <c r="L112" s="333">
        <f t="shared" si="10"/>
        <v>0</v>
      </c>
      <c r="M112" s="331">
        <f t="shared" si="7"/>
        <v>0</v>
      </c>
      <c r="N112" s="365">
        <f t="shared" si="9"/>
        <v>0</v>
      </c>
      <c r="O112" s="366"/>
    </row>
    <row r="113" spans="1:16" ht="13.5" hidden="1" customHeight="1" x14ac:dyDescent="0.2">
      <c r="A113" s="415"/>
      <c r="B113" s="471"/>
      <c r="C113" s="372">
        <f>'Per1'!C113:E113</f>
        <v>0</v>
      </c>
      <c r="D113" s="373"/>
      <c r="E113" s="374"/>
      <c r="F113" s="375"/>
      <c r="G113" s="375"/>
      <c r="H113" s="375"/>
      <c r="I113" s="375"/>
      <c r="J113" s="332">
        <f t="shared" si="8"/>
        <v>0</v>
      </c>
      <c r="K113" s="245">
        <f>IF((J113+'Per1'!J113+'Per2'!J113+'Per3'!J113+'Per4'!J113+'Per5'!J113+'Per6'!J113+'Per7'!J113+'Per8'!J113+'Per9'!J113)&lt;=24999,J113, 25000-'Per1'!K113-'Per2'!K113-'Per3'!K113-'Per4'!K113-'Per5'!K113-'Per6'!K113-'Per7'!K113-'Per8'!K113-'Per9'!K113)</f>
        <v>0</v>
      </c>
      <c r="L113" s="333">
        <f t="shared" si="10"/>
        <v>0</v>
      </c>
      <c r="M113" s="331">
        <f t="shared" si="7"/>
        <v>0</v>
      </c>
      <c r="N113" s="365">
        <f t="shared" si="9"/>
        <v>0</v>
      </c>
      <c r="O113" s="366"/>
    </row>
    <row r="114" spans="1:16" ht="13.5" hidden="1" customHeight="1" x14ac:dyDescent="0.2">
      <c r="A114" s="415"/>
      <c r="B114" s="471"/>
      <c r="C114" s="372">
        <f>'Per1'!C114:E114</f>
        <v>0</v>
      </c>
      <c r="D114" s="373"/>
      <c r="E114" s="374"/>
      <c r="F114" s="375"/>
      <c r="G114" s="375"/>
      <c r="H114" s="375"/>
      <c r="I114" s="375"/>
      <c r="J114" s="332">
        <f t="shared" si="8"/>
        <v>0</v>
      </c>
      <c r="K114" s="245">
        <f>IF((J114+'Per1'!J114+'Per2'!J114+'Per3'!J114+'Per4'!J114+'Per5'!J114+'Per6'!J114+'Per7'!J114+'Per8'!J114+'Per9'!J114)&lt;=24999,J114, 25000-'Per1'!K114-'Per2'!K114-'Per3'!K114-'Per4'!K114-'Per5'!K114-'Per6'!K114-'Per7'!K114-'Per8'!K114-'Per9'!K114)</f>
        <v>0</v>
      </c>
      <c r="L114" s="333">
        <f t="shared" si="10"/>
        <v>0</v>
      </c>
      <c r="M114" s="331">
        <f t="shared" si="7"/>
        <v>0</v>
      </c>
      <c r="N114" s="365">
        <f t="shared" si="9"/>
        <v>0</v>
      </c>
      <c r="O114" s="366"/>
    </row>
    <row r="115" spans="1:16" ht="13.5" hidden="1" customHeight="1" x14ac:dyDescent="0.2">
      <c r="A115" s="415"/>
      <c r="B115" s="471"/>
      <c r="C115" s="372">
        <f>'Per1'!C115:E115</f>
        <v>0</v>
      </c>
      <c r="D115" s="373"/>
      <c r="E115" s="374"/>
      <c r="F115" s="375"/>
      <c r="G115" s="375"/>
      <c r="H115" s="375"/>
      <c r="I115" s="375"/>
      <c r="J115" s="332">
        <f t="shared" si="8"/>
        <v>0</v>
      </c>
      <c r="K115" s="245">
        <f>IF((J115+'Per1'!J115+'Per2'!J115+'Per3'!J115+'Per4'!J115+'Per5'!J115+'Per6'!J115+'Per7'!J115+'Per8'!J115+'Per9'!J115)&lt;=24999,J115, 25000-'Per1'!K115-'Per2'!K115-'Per3'!K115-'Per4'!K115-'Per5'!K115-'Per6'!K115-'Per7'!K115-'Per8'!K115-'Per9'!K115)</f>
        <v>0</v>
      </c>
      <c r="L115" s="333">
        <f t="shared" si="10"/>
        <v>0</v>
      </c>
      <c r="M115" s="331">
        <f t="shared" si="7"/>
        <v>0</v>
      </c>
      <c r="N115" s="365">
        <f t="shared" si="9"/>
        <v>0</v>
      </c>
      <c r="O115" s="366"/>
    </row>
    <row r="116" spans="1:16" ht="13.5" hidden="1" customHeight="1" x14ac:dyDescent="0.2">
      <c r="A116" s="415"/>
      <c r="B116" s="471"/>
      <c r="C116" s="372">
        <f>'Per1'!C116:E116</f>
        <v>0</v>
      </c>
      <c r="D116" s="373"/>
      <c r="E116" s="374"/>
      <c r="F116" s="375"/>
      <c r="G116" s="375"/>
      <c r="H116" s="375"/>
      <c r="I116" s="375"/>
      <c r="J116" s="332">
        <f t="shared" si="8"/>
        <v>0</v>
      </c>
      <c r="K116" s="245">
        <f>IF((J116+'Per1'!J116+'Per2'!J116+'Per3'!J116+'Per4'!J116+'Per5'!J116+'Per6'!J116+'Per7'!J116+'Per8'!J116+'Per9'!J116)&lt;=24999,J116, 25000-'Per1'!K116-'Per2'!K116-'Per3'!K116-'Per4'!K116-'Per5'!K116-'Per6'!K116-'Per7'!K116-'Per8'!K116-'Per9'!K116)</f>
        <v>0</v>
      </c>
      <c r="L116" s="333">
        <f t="shared" si="10"/>
        <v>0</v>
      </c>
      <c r="M116" s="331">
        <f t="shared" si="7"/>
        <v>0</v>
      </c>
      <c r="N116" s="365">
        <f t="shared" si="9"/>
        <v>0</v>
      </c>
      <c r="O116" s="366"/>
    </row>
    <row r="117" spans="1:16" ht="13.5" hidden="1" customHeight="1" x14ac:dyDescent="0.2">
      <c r="A117" s="415"/>
      <c r="B117" s="471"/>
      <c r="C117" s="372">
        <f>'Per1'!C117:E117</f>
        <v>0</v>
      </c>
      <c r="D117" s="373"/>
      <c r="E117" s="374"/>
      <c r="F117" s="375"/>
      <c r="G117" s="375"/>
      <c r="H117" s="375"/>
      <c r="I117" s="375"/>
      <c r="J117" s="332">
        <f t="shared" si="8"/>
        <v>0</v>
      </c>
      <c r="K117" s="245">
        <f>IF((J117+'Per1'!J117+'Per2'!J117+'Per3'!J117+'Per4'!J117+'Per5'!J117+'Per6'!J117+'Per7'!J117+'Per8'!J117+'Per9'!J117)&lt;=24999,J117, 25000-'Per1'!K117-'Per2'!K117-'Per3'!K117-'Per4'!K117-'Per5'!K117-'Per6'!K117-'Per7'!K117-'Per8'!K117-'Per9'!K117)</f>
        <v>0</v>
      </c>
      <c r="L117" s="333">
        <f t="shared" si="10"/>
        <v>0</v>
      </c>
      <c r="M117" s="331">
        <f t="shared" si="7"/>
        <v>0</v>
      </c>
      <c r="N117" s="365">
        <f t="shared" si="9"/>
        <v>0</v>
      </c>
      <c r="O117" s="366"/>
    </row>
    <row r="118" spans="1:16" ht="13.5" hidden="1" customHeight="1" x14ac:dyDescent="0.2">
      <c r="A118" s="415"/>
      <c r="B118" s="471"/>
      <c r="C118" s="372">
        <f>'Per1'!C118:E118</f>
        <v>0</v>
      </c>
      <c r="D118" s="373"/>
      <c r="E118" s="374"/>
      <c r="F118" s="375"/>
      <c r="G118" s="375"/>
      <c r="H118" s="375"/>
      <c r="I118" s="375"/>
      <c r="J118" s="332">
        <f t="shared" si="8"/>
        <v>0</v>
      </c>
      <c r="K118" s="245">
        <f>IF((J118+'Per1'!J118+'Per2'!J118+'Per3'!J118+'Per4'!J118+'Per5'!J118+'Per6'!J118+'Per7'!J118+'Per8'!J118+'Per9'!J118)&lt;=24999,J118, 25000-'Per1'!K118-'Per2'!K118-'Per3'!K118-'Per4'!K118-'Per5'!K118-'Per6'!K118-'Per7'!K118-'Per8'!K118-'Per9'!K118)</f>
        <v>0</v>
      </c>
      <c r="L118" s="333">
        <f t="shared" si="10"/>
        <v>0</v>
      </c>
      <c r="M118" s="331">
        <f t="shared" si="7"/>
        <v>0</v>
      </c>
      <c r="N118" s="365">
        <f t="shared" si="9"/>
        <v>0</v>
      </c>
      <c r="O118" s="366"/>
    </row>
    <row r="119" spans="1:16" ht="13.5" hidden="1" customHeight="1" x14ac:dyDescent="0.2">
      <c r="A119" s="415"/>
      <c r="B119" s="471"/>
      <c r="C119" s="372">
        <f>'Per1'!C119:E119</f>
        <v>0</v>
      </c>
      <c r="D119" s="373"/>
      <c r="E119" s="374"/>
      <c r="F119" s="375"/>
      <c r="G119" s="375"/>
      <c r="H119" s="375"/>
      <c r="I119" s="375"/>
      <c r="J119" s="332">
        <f t="shared" si="8"/>
        <v>0</v>
      </c>
      <c r="K119" s="245">
        <f>IF((J119+'Per1'!J119+'Per2'!J119+'Per3'!J119+'Per4'!J119+'Per5'!J119+'Per6'!J119+'Per7'!J119+'Per8'!J119+'Per9'!J119)&lt;=24999,J119, 25000-'Per1'!K119-'Per2'!K119-'Per3'!K119-'Per4'!K119-'Per5'!K119-'Per6'!K119-'Per7'!K119-'Per8'!K119-'Per9'!K119)</f>
        <v>0</v>
      </c>
      <c r="L119" s="333">
        <f t="shared" si="10"/>
        <v>0</v>
      </c>
      <c r="M119" s="331">
        <f t="shared" si="7"/>
        <v>0</v>
      </c>
      <c r="N119" s="365">
        <f t="shared" si="9"/>
        <v>0</v>
      </c>
      <c r="O119" s="366"/>
    </row>
    <row r="120" spans="1:16" ht="13.5" hidden="1" customHeight="1" thickBot="1" x14ac:dyDescent="0.25">
      <c r="A120" s="415"/>
      <c r="B120" s="471"/>
      <c r="C120" s="372">
        <f>'Per1'!C120:E120</f>
        <v>0</v>
      </c>
      <c r="D120" s="373"/>
      <c r="E120" s="374"/>
      <c r="F120" s="375"/>
      <c r="G120" s="375"/>
      <c r="H120" s="375"/>
      <c r="I120" s="375"/>
      <c r="J120" s="332">
        <f t="shared" si="8"/>
        <v>0</v>
      </c>
      <c r="K120" s="245">
        <f>IF((J120+'Per1'!J120+'Per2'!J120+'Per3'!J120+'Per4'!J120+'Per5'!J120+'Per6'!J120+'Per7'!J120+'Per8'!J120+'Per9'!J120)&lt;=24999,J120, 25000-'Per1'!K120-'Per2'!K120-'Per3'!K120-'Per4'!K120-'Per5'!K120-'Per6'!K120-'Per7'!K120-'Per8'!K120-'Per9'!K120)</f>
        <v>0</v>
      </c>
      <c r="L120" s="333">
        <f t="shared" si="10"/>
        <v>0</v>
      </c>
      <c r="M120" s="331">
        <f t="shared" si="7"/>
        <v>0</v>
      </c>
      <c r="N120" s="479">
        <f t="shared" si="9"/>
        <v>0</v>
      </c>
      <c r="O120" s="480"/>
    </row>
    <row r="121" spans="1:16" ht="13.5" customHeight="1" thickBot="1" x14ac:dyDescent="0.25">
      <c r="A121" s="416"/>
      <c r="B121" s="472"/>
      <c r="C121" s="436" t="s">
        <v>163</v>
      </c>
      <c r="D121" s="436"/>
      <c r="E121" s="437"/>
      <c r="F121" s="379">
        <f>SUM(F101:G120)</f>
        <v>0</v>
      </c>
      <c r="G121" s="379"/>
      <c r="H121" s="379">
        <f>SUM(H101:I120)</f>
        <v>0</v>
      </c>
      <c r="I121" s="379"/>
      <c r="J121" s="334">
        <f>SUM(J101:J120)</f>
        <v>0</v>
      </c>
      <c r="K121" s="247">
        <f>SUM(K101:K120)</f>
        <v>0</v>
      </c>
      <c r="L121" s="335">
        <f>SUM(L101:L120)</f>
        <v>0</v>
      </c>
      <c r="M121" s="336">
        <f>SUM(M101:M120)</f>
        <v>0</v>
      </c>
      <c r="N121" s="248"/>
      <c r="O121" s="249"/>
    </row>
    <row r="122" spans="1:16" ht="18" hidden="1" customHeight="1" thickBot="1" x14ac:dyDescent="0.25">
      <c r="A122" s="574"/>
      <c r="B122" s="574"/>
      <c r="C122" s="574"/>
      <c r="D122" s="574"/>
      <c r="E122" s="574"/>
      <c r="F122" s="574"/>
      <c r="G122" s="574"/>
      <c r="H122" s="574"/>
      <c r="I122" s="574"/>
      <c r="J122" s="574"/>
      <c r="K122" s="574"/>
      <c r="L122" s="574"/>
      <c r="M122" s="574"/>
      <c r="N122" s="540"/>
      <c r="O122" s="540"/>
      <c r="P122" s="31"/>
    </row>
    <row r="123" spans="1:16" ht="18" hidden="1" customHeight="1" x14ac:dyDescent="0.2">
      <c r="A123" s="124"/>
      <c r="B123" s="218"/>
      <c r="C123" s="218"/>
      <c r="D123" s="218"/>
      <c r="E123" s="218"/>
      <c r="F123" s="219" t="s">
        <v>164</v>
      </c>
      <c r="G123" s="218">
        <f>IF(MONTH(L5)&lt;9,YEAR(L5),YEAR(L5)+1)</f>
        <v>2034</v>
      </c>
      <c r="H123" s="218"/>
      <c r="I123" s="219" t="s">
        <v>165</v>
      </c>
      <c r="J123" s="219" t="s">
        <v>166</v>
      </c>
      <c r="K123" s="219" t="s">
        <v>167</v>
      </c>
      <c r="L123" s="124"/>
      <c r="M123" s="124"/>
      <c r="N123" s="124"/>
      <c r="O123" s="124"/>
      <c r="P123" s="31"/>
    </row>
    <row r="124" spans="1:16" ht="18" hidden="1" customHeight="1" x14ac:dyDescent="0.2">
      <c r="A124" s="124"/>
      <c r="B124" s="218"/>
      <c r="C124" s="218"/>
      <c r="D124" s="218"/>
      <c r="E124" s="218"/>
      <c r="F124" s="218"/>
      <c r="G124" s="218"/>
      <c r="H124" s="218"/>
      <c r="I124" s="218">
        <v>2018</v>
      </c>
      <c r="J124" s="218">
        <v>0.47</v>
      </c>
      <c r="K124" s="220">
        <f>DATE(I124,8,31)</f>
        <v>43343</v>
      </c>
      <c r="L124" s="124"/>
      <c r="M124" s="124"/>
      <c r="N124" s="124"/>
      <c r="O124" s="124"/>
      <c r="P124" s="31"/>
    </row>
    <row r="125" spans="1:16" ht="18" hidden="1" customHeight="1" x14ac:dyDescent="0.2">
      <c r="A125" s="124"/>
      <c r="B125" s="218"/>
      <c r="C125" s="218"/>
      <c r="D125" s="218"/>
      <c r="E125" s="218"/>
      <c r="F125" s="218"/>
      <c r="G125" s="218"/>
      <c r="H125" s="218"/>
      <c r="I125" s="218">
        <v>2019</v>
      </c>
      <c r="J125" s="218">
        <v>0.49</v>
      </c>
      <c r="K125" s="220">
        <f t="shared" ref="K125:K142" si="11">DATE(I125,8,31)</f>
        <v>43708</v>
      </c>
      <c r="L125" s="124"/>
      <c r="M125" s="124"/>
      <c r="N125" s="124"/>
      <c r="O125" s="124"/>
      <c r="P125" s="31"/>
    </row>
    <row r="126" spans="1:16" ht="18" hidden="1" customHeight="1" x14ac:dyDescent="0.2">
      <c r="A126" s="124"/>
      <c r="B126" s="218"/>
      <c r="C126" s="218"/>
      <c r="D126" s="218"/>
      <c r="E126" s="218"/>
      <c r="F126" s="218"/>
      <c r="G126" s="218"/>
      <c r="H126" s="218"/>
      <c r="I126" s="218">
        <v>2020</v>
      </c>
      <c r="J126" s="218">
        <v>0.495</v>
      </c>
      <c r="K126" s="220">
        <f t="shared" si="11"/>
        <v>44074</v>
      </c>
      <c r="L126" s="124"/>
      <c r="M126" s="124"/>
      <c r="N126" s="124"/>
      <c r="O126" s="124"/>
      <c r="P126" s="31"/>
    </row>
    <row r="127" spans="1:16" ht="18" hidden="1" customHeight="1" x14ac:dyDescent="0.2">
      <c r="A127" s="124"/>
      <c r="B127" s="218"/>
      <c r="C127" s="218"/>
      <c r="D127" s="218"/>
      <c r="E127" s="218"/>
      <c r="F127" s="218"/>
      <c r="G127" s="218"/>
      <c r="H127" s="218"/>
      <c r="I127" s="218">
        <v>2021</v>
      </c>
      <c r="J127" s="218">
        <v>0.5</v>
      </c>
      <c r="K127" s="220">
        <f t="shared" si="11"/>
        <v>44439</v>
      </c>
      <c r="L127" s="124"/>
      <c r="M127" s="124"/>
      <c r="N127" s="124"/>
      <c r="O127" s="124"/>
      <c r="P127" s="31"/>
    </row>
    <row r="128" spans="1:16" ht="18" hidden="1" customHeight="1" x14ac:dyDescent="0.2">
      <c r="A128" s="124"/>
      <c r="B128" s="218"/>
      <c r="C128" s="218"/>
      <c r="D128" s="218"/>
      <c r="E128" s="218"/>
      <c r="F128" s="218"/>
      <c r="G128" s="218"/>
      <c r="H128" s="218"/>
      <c r="I128" s="218">
        <v>2022</v>
      </c>
      <c r="J128" s="218">
        <v>0.5</v>
      </c>
      <c r="K128" s="220">
        <f t="shared" si="11"/>
        <v>44804</v>
      </c>
      <c r="L128" s="124"/>
      <c r="M128" s="124"/>
      <c r="N128" s="124"/>
      <c r="O128" s="124"/>
      <c r="P128" s="31"/>
    </row>
    <row r="129" spans="1:17" ht="18" hidden="1" customHeight="1" x14ac:dyDescent="0.2">
      <c r="A129" s="124"/>
      <c r="B129" s="218"/>
      <c r="C129" s="218"/>
      <c r="D129" s="218"/>
      <c r="E129" s="218"/>
      <c r="F129" s="218"/>
      <c r="G129" s="218"/>
      <c r="H129" s="218"/>
      <c r="I129" s="218">
        <v>2023</v>
      </c>
      <c r="J129" s="218">
        <v>0.5</v>
      </c>
      <c r="K129" s="220">
        <f t="shared" si="11"/>
        <v>45169</v>
      </c>
      <c r="L129" s="124"/>
      <c r="M129" s="124"/>
      <c r="N129" s="124"/>
      <c r="O129" s="124"/>
      <c r="P129" s="31"/>
    </row>
    <row r="130" spans="1:17" ht="18" hidden="1" customHeight="1" x14ac:dyDescent="0.2">
      <c r="A130" s="124"/>
      <c r="B130" s="218"/>
      <c r="C130" s="218"/>
      <c r="D130" s="218"/>
      <c r="E130" s="218"/>
      <c r="F130" s="218"/>
      <c r="G130" s="218"/>
      <c r="H130" s="218"/>
      <c r="I130" s="218">
        <v>2024</v>
      </c>
      <c r="J130" s="218">
        <v>0.5</v>
      </c>
      <c r="K130" s="220">
        <f t="shared" si="11"/>
        <v>45535</v>
      </c>
      <c r="L130" s="124"/>
      <c r="M130" s="124"/>
      <c r="N130" s="124"/>
      <c r="O130" s="124"/>
      <c r="P130" s="31"/>
    </row>
    <row r="131" spans="1:17" ht="18" hidden="1" customHeight="1" x14ac:dyDescent="0.2">
      <c r="A131" s="124"/>
      <c r="B131" s="218"/>
      <c r="C131" s="218"/>
      <c r="D131" s="218"/>
      <c r="E131" s="218"/>
      <c r="F131" s="218"/>
      <c r="G131" s="218"/>
      <c r="H131" s="218"/>
      <c r="I131" s="218">
        <v>2025</v>
      </c>
      <c r="J131" s="218">
        <v>0.5</v>
      </c>
      <c r="K131" s="220">
        <f t="shared" si="11"/>
        <v>45900</v>
      </c>
      <c r="L131" s="124"/>
      <c r="M131" s="124"/>
      <c r="N131" s="124"/>
      <c r="O131" s="124"/>
      <c r="P131" s="31"/>
    </row>
    <row r="132" spans="1:17" ht="18" hidden="1" customHeight="1" x14ac:dyDescent="0.2">
      <c r="A132" s="124"/>
      <c r="B132" s="218"/>
      <c r="C132" s="218"/>
      <c r="D132" s="218"/>
      <c r="E132" s="218"/>
      <c r="F132" s="218"/>
      <c r="G132" s="218"/>
      <c r="H132" s="218"/>
      <c r="I132" s="218">
        <v>2026</v>
      </c>
      <c r="J132" s="218">
        <v>0.5</v>
      </c>
      <c r="K132" s="220">
        <f t="shared" si="11"/>
        <v>46265</v>
      </c>
      <c r="L132" s="124"/>
      <c r="M132" s="124"/>
      <c r="N132" s="124"/>
      <c r="O132" s="124"/>
      <c r="P132" s="31"/>
    </row>
    <row r="133" spans="1:17" ht="18" hidden="1" customHeight="1" x14ac:dyDescent="0.2">
      <c r="A133" s="124"/>
      <c r="B133" s="218"/>
      <c r="C133" s="218"/>
      <c r="D133" s="218"/>
      <c r="E133" s="218"/>
      <c r="F133" s="218"/>
      <c r="G133" s="218"/>
      <c r="H133" s="218"/>
      <c r="I133" s="218">
        <v>2027</v>
      </c>
      <c r="J133" s="218">
        <v>0.5</v>
      </c>
      <c r="K133" s="220">
        <f t="shared" si="11"/>
        <v>46630</v>
      </c>
      <c r="L133" s="124"/>
      <c r="M133" s="124"/>
      <c r="N133" s="124"/>
      <c r="O133" s="124"/>
      <c r="P133" s="31"/>
    </row>
    <row r="134" spans="1:17" ht="18" hidden="1" customHeight="1" x14ac:dyDescent="0.2">
      <c r="A134" s="124"/>
      <c r="B134" s="218"/>
      <c r="C134" s="218"/>
      <c r="D134" s="218"/>
      <c r="E134" s="218"/>
      <c r="F134" s="218"/>
      <c r="G134" s="218"/>
      <c r="H134" s="218"/>
      <c r="I134" s="218">
        <v>2028</v>
      </c>
      <c r="J134" s="218">
        <v>0.5</v>
      </c>
      <c r="K134" s="220">
        <f t="shared" si="11"/>
        <v>46996</v>
      </c>
      <c r="L134" s="124"/>
      <c r="M134" s="124"/>
      <c r="N134" s="124"/>
      <c r="O134" s="124"/>
      <c r="P134" s="31"/>
    </row>
    <row r="135" spans="1:17" ht="18" hidden="1" customHeight="1" x14ac:dyDescent="0.2">
      <c r="A135" s="124"/>
      <c r="B135" s="218"/>
      <c r="C135" s="218"/>
      <c r="D135" s="218"/>
      <c r="E135" s="218"/>
      <c r="F135" s="218"/>
      <c r="G135" s="218"/>
      <c r="H135" s="218"/>
      <c r="I135" s="218">
        <v>2029</v>
      </c>
      <c r="J135" s="218">
        <v>0.5</v>
      </c>
      <c r="K135" s="220">
        <f t="shared" si="11"/>
        <v>47361</v>
      </c>
      <c r="L135" s="124"/>
      <c r="M135" s="124"/>
      <c r="N135" s="124"/>
      <c r="O135" s="124"/>
      <c r="P135" s="31"/>
    </row>
    <row r="136" spans="1:17" ht="18" hidden="1" customHeight="1" x14ac:dyDescent="0.2">
      <c r="A136" s="124"/>
      <c r="B136" s="218"/>
      <c r="C136" s="218"/>
      <c r="D136" s="218"/>
      <c r="E136" s="218"/>
      <c r="F136" s="218"/>
      <c r="G136" s="218"/>
      <c r="H136" s="218"/>
      <c r="I136" s="218">
        <v>2030</v>
      </c>
      <c r="J136" s="218">
        <v>0.5</v>
      </c>
      <c r="K136" s="220">
        <f t="shared" si="11"/>
        <v>47726</v>
      </c>
      <c r="L136" s="124"/>
      <c r="M136" s="124"/>
      <c r="N136" s="124"/>
      <c r="O136" s="124"/>
      <c r="P136" s="31"/>
    </row>
    <row r="137" spans="1:17" ht="18" hidden="1" customHeight="1" x14ac:dyDescent="0.2">
      <c r="A137" s="124"/>
      <c r="B137" s="218"/>
      <c r="C137" s="218"/>
      <c r="D137" s="218"/>
      <c r="E137" s="218"/>
      <c r="F137" s="218"/>
      <c r="G137" s="218"/>
      <c r="H137" s="218"/>
      <c r="I137" s="218">
        <v>2031</v>
      </c>
      <c r="J137" s="218">
        <v>0.5</v>
      </c>
      <c r="K137" s="220">
        <f t="shared" si="11"/>
        <v>48091</v>
      </c>
      <c r="L137" s="124"/>
      <c r="M137" s="124"/>
      <c r="N137" s="124"/>
      <c r="O137" s="124"/>
      <c r="P137" s="31"/>
    </row>
    <row r="138" spans="1:17" ht="18" hidden="1" customHeight="1" x14ac:dyDescent="0.2">
      <c r="A138" s="124"/>
      <c r="B138" s="218"/>
      <c r="C138" s="218"/>
      <c r="D138" s="218"/>
      <c r="E138" s="218"/>
      <c r="F138" s="218"/>
      <c r="G138" s="218"/>
      <c r="H138" s="218"/>
      <c r="I138" s="218">
        <v>2032</v>
      </c>
      <c r="J138" s="218">
        <v>0.5</v>
      </c>
      <c r="K138" s="220">
        <f t="shared" si="11"/>
        <v>48457</v>
      </c>
      <c r="L138" s="124"/>
      <c r="M138" s="124"/>
      <c r="N138" s="124"/>
      <c r="O138" s="124"/>
      <c r="P138" s="31"/>
    </row>
    <row r="139" spans="1:17" ht="18" hidden="1" customHeight="1" x14ac:dyDescent="0.2">
      <c r="A139" s="124"/>
      <c r="B139" s="218"/>
      <c r="C139" s="218"/>
      <c r="D139" s="218"/>
      <c r="E139" s="218"/>
      <c r="F139" s="218"/>
      <c r="G139" s="218"/>
      <c r="H139" s="218"/>
      <c r="I139" s="218">
        <v>2033</v>
      </c>
      <c r="J139" s="218">
        <v>0.5</v>
      </c>
      <c r="K139" s="220">
        <f t="shared" si="11"/>
        <v>48822</v>
      </c>
      <c r="L139" s="124"/>
      <c r="M139" s="124"/>
      <c r="N139" s="124"/>
      <c r="O139" s="124"/>
      <c r="P139" s="31"/>
    </row>
    <row r="140" spans="1:17" ht="18" hidden="1" customHeight="1" x14ac:dyDescent="0.2">
      <c r="A140" s="124"/>
      <c r="B140" s="218"/>
      <c r="C140" s="218"/>
      <c r="D140" s="218"/>
      <c r="E140" s="218"/>
      <c r="F140" s="218"/>
      <c r="G140" s="218"/>
      <c r="H140" s="218"/>
      <c r="I140" s="218">
        <v>2034</v>
      </c>
      <c r="J140" s="218">
        <v>0.5</v>
      </c>
      <c r="K140" s="220">
        <f t="shared" si="11"/>
        <v>49187</v>
      </c>
      <c r="L140" s="124"/>
      <c r="M140" s="124"/>
      <c r="N140" s="124"/>
      <c r="O140" s="124"/>
      <c r="P140" s="31"/>
    </row>
    <row r="141" spans="1:17" ht="18" hidden="1" customHeight="1" x14ac:dyDescent="0.2">
      <c r="A141" s="124"/>
      <c r="B141" s="218"/>
      <c r="C141" s="218"/>
      <c r="D141" s="218"/>
      <c r="E141" s="218"/>
      <c r="F141" s="218"/>
      <c r="G141" s="218"/>
      <c r="H141" s="218"/>
      <c r="I141" s="218">
        <v>2035</v>
      </c>
      <c r="J141" s="218">
        <v>0.5</v>
      </c>
      <c r="K141" s="220">
        <f t="shared" si="11"/>
        <v>49552</v>
      </c>
      <c r="L141" s="124"/>
      <c r="M141" s="124"/>
      <c r="N141" s="124"/>
      <c r="O141" s="124"/>
      <c r="P141" s="31"/>
    </row>
    <row r="142" spans="1:17" ht="18" hidden="1" customHeight="1" x14ac:dyDescent="0.2">
      <c r="A142" s="124"/>
      <c r="B142" s="218"/>
      <c r="C142" s="218"/>
      <c r="D142" s="218"/>
      <c r="E142" s="218"/>
      <c r="F142" s="218"/>
      <c r="G142" s="218"/>
      <c r="H142" s="218"/>
      <c r="I142" s="218">
        <v>2036</v>
      </c>
      <c r="J142" s="218">
        <v>0.5</v>
      </c>
      <c r="K142" s="220">
        <f t="shared" si="11"/>
        <v>49918</v>
      </c>
      <c r="L142" s="124"/>
      <c r="M142" s="124"/>
      <c r="N142" s="124"/>
      <c r="O142" s="124"/>
      <c r="P142" s="31"/>
    </row>
    <row r="143" spans="1:17" ht="18" customHeight="1" thickBot="1" x14ac:dyDescent="0.25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31"/>
    </row>
    <row r="144" spans="1:17" ht="13.5" customHeight="1" x14ac:dyDescent="0.2">
      <c r="A144" s="414" t="s">
        <v>168</v>
      </c>
      <c r="B144" s="534" t="s">
        <v>169</v>
      </c>
      <c r="C144" s="535"/>
      <c r="D144" s="535"/>
      <c r="E144" s="535"/>
      <c r="F144" s="536"/>
      <c r="G144" s="427" t="s">
        <v>170</v>
      </c>
      <c r="H144" s="428"/>
      <c r="I144" s="428"/>
      <c r="J144" s="428"/>
      <c r="K144" s="429"/>
      <c r="L144" s="464" t="s">
        <v>171</v>
      </c>
      <c r="M144" s="465"/>
      <c r="N144" s="466"/>
      <c r="O144" s="337">
        <f>O155-H121</f>
        <v>0</v>
      </c>
      <c r="P144" s="150"/>
      <c r="Q144" s="1" t="s">
        <v>172</v>
      </c>
    </row>
    <row r="145" spans="1:17" ht="13.5" customHeight="1" x14ac:dyDescent="0.2">
      <c r="A145" s="415"/>
      <c r="B145" s="537"/>
      <c r="C145" s="538"/>
      <c r="D145" s="538"/>
      <c r="E145" s="538"/>
      <c r="F145" s="539"/>
      <c r="G145" s="430"/>
      <c r="H145" s="431"/>
      <c r="I145" s="431"/>
      <c r="J145" s="431"/>
      <c r="K145" s="432"/>
      <c r="L145" s="476" t="s">
        <v>173</v>
      </c>
      <c r="M145" s="477"/>
      <c r="N145" s="478"/>
      <c r="O145" s="338">
        <f>H121</f>
        <v>0</v>
      </c>
      <c r="P145" s="150"/>
    </row>
    <row r="146" spans="1:17" ht="13.5" customHeight="1" x14ac:dyDescent="0.2">
      <c r="A146" s="415"/>
      <c r="B146" s="369" t="s">
        <v>174</v>
      </c>
      <c r="C146" s="370"/>
      <c r="D146" s="370"/>
      <c r="E146" s="370"/>
      <c r="F146" s="371"/>
      <c r="G146" s="430"/>
      <c r="H146" s="431"/>
      <c r="I146" s="431"/>
      <c r="J146" s="431"/>
      <c r="K146" s="432"/>
      <c r="L146" s="376" t="s">
        <v>175</v>
      </c>
      <c r="M146" s="377"/>
      <c r="N146" s="378"/>
      <c r="O146" s="339">
        <f>O155-O87-O83-O92-O99+K121</f>
        <v>0</v>
      </c>
      <c r="P146" s="150"/>
      <c r="Q146" s="225" t="s">
        <v>176</v>
      </c>
    </row>
    <row r="147" spans="1:17" ht="13.5" customHeight="1" x14ac:dyDescent="0.3">
      <c r="A147" s="415"/>
      <c r="B147" s="226"/>
      <c r="C147" s="118" t="s">
        <v>177</v>
      </c>
      <c r="D147" s="118"/>
      <c r="E147" s="118"/>
      <c r="F147" s="227">
        <v>0.5</v>
      </c>
      <c r="G147" s="430"/>
      <c r="H147" s="431"/>
      <c r="I147" s="431"/>
      <c r="J147" s="431"/>
      <c r="K147" s="432"/>
      <c r="L147" s="153" t="s">
        <v>178</v>
      </c>
      <c r="M147" s="113">
        <f>VLOOKUP($G$123,$I$124:$J$142,2,FALSE)</f>
        <v>0.5</v>
      </c>
      <c r="N147" s="250" t="s">
        <v>179</v>
      </c>
      <c r="O147" s="340">
        <f>IF($L$7-VLOOKUP($G$123,$I$124:$K$142,3,FALSE)&lt;0,$O$146,ROUND((1-($L$7-VLOOKUP($G$123,$I$124:$K$142,3,FALSE))/($L$7+1-$L$5))*$O$146,0))</f>
        <v>0</v>
      </c>
      <c r="P147" s="33"/>
      <c r="Q147" s="108"/>
    </row>
    <row r="148" spans="1:17" ht="13.5" customHeight="1" x14ac:dyDescent="0.3">
      <c r="A148" s="415"/>
      <c r="B148" s="226"/>
      <c r="C148" s="118" t="s">
        <v>180</v>
      </c>
      <c r="D148" s="118"/>
      <c r="E148" s="118"/>
      <c r="F148" s="227">
        <v>0.5</v>
      </c>
      <c r="G148" s="430"/>
      <c r="H148" s="431"/>
      <c r="I148" s="431"/>
      <c r="J148" s="431"/>
      <c r="K148" s="432"/>
      <c r="L148" s="154" t="s">
        <v>181</v>
      </c>
      <c r="M148" s="113">
        <f>VLOOKUP($G$123+1,$I$124:$J$142,2,FALSE)</f>
        <v>0.5</v>
      </c>
      <c r="N148" s="250" t="s">
        <v>182</v>
      </c>
      <c r="O148" s="340">
        <f>O146-O147</f>
        <v>0</v>
      </c>
      <c r="P148" s="33"/>
    </row>
    <row r="149" spans="1:17" ht="13.5" customHeight="1" x14ac:dyDescent="0.3">
      <c r="A149" s="415"/>
      <c r="B149" s="226"/>
      <c r="C149" s="118" t="s">
        <v>183</v>
      </c>
      <c r="D149" s="118"/>
      <c r="E149" s="118"/>
      <c r="F149" s="227">
        <v>0.36</v>
      </c>
      <c r="G149" s="430"/>
      <c r="H149" s="431"/>
      <c r="I149" s="431"/>
      <c r="J149" s="431"/>
      <c r="K149" s="432"/>
      <c r="L149" s="528" t="s">
        <v>184</v>
      </c>
      <c r="M149" s="529"/>
      <c r="N149" s="530"/>
      <c r="O149" s="341">
        <f>ROUND(M147*O147,0)</f>
        <v>0</v>
      </c>
      <c r="P149" s="33"/>
    </row>
    <row r="150" spans="1:17" ht="13.5" customHeight="1" x14ac:dyDescent="0.3">
      <c r="A150" s="415"/>
      <c r="B150" s="228"/>
      <c r="C150" s="229"/>
      <c r="D150" s="229"/>
      <c r="E150" s="229"/>
      <c r="F150" s="230"/>
      <c r="G150" s="433"/>
      <c r="H150" s="434"/>
      <c r="I150" s="434"/>
      <c r="J150" s="434"/>
      <c r="K150" s="435"/>
      <c r="L150" s="554" t="s">
        <v>185</v>
      </c>
      <c r="M150" s="555"/>
      <c r="N150" s="556"/>
      <c r="O150" s="342">
        <f>ROUND(M148*O148,0)</f>
        <v>0</v>
      </c>
      <c r="P150" s="33"/>
    </row>
    <row r="151" spans="1:17" ht="13.5" customHeight="1" x14ac:dyDescent="0.2">
      <c r="A151" s="415"/>
      <c r="B151" s="369" t="s">
        <v>186</v>
      </c>
      <c r="C151" s="370"/>
      <c r="D151" s="370"/>
      <c r="E151" s="370"/>
      <c r="F151" s="371"/>
      <c r="G151" s="545" t="s">
        <v>187</v>
      </c>
      <c r="H151" s="546"/>
      <c r="I151" s="546"/>
      <c r="J151" s="546"/>
      <c r="K151" s="546"/>
      <c r="L151" s="546"/>
      <c r="M151" s="546"/>
      <c r="N151" s="546"/>
      <c r="O151" s="547"/>
      <c r="P151" s="155"/>
    </row>
    <row r="152" spans="1:17" ht="13.5" customHeight="1" x14ac:dyDescent="0.2">
      <c r="A152" s="415"/>
      <c r="B152" s="226"/>
      <c r="C152" s="118" t="s">
        <v>188</v>
      </c>
      <c r="D152" s="118"/>
      <c r="E152" s="118"/>
      <c r="F152" s="227">
        <v>0.26</v>
      </c>
      <c r="G152" s="548"/>
      <c r="H152" s="549"/>
      <c r="I152" s="549"/>
      <c r="J152" s="549"/>
      <c r="K152" s="549"/>
      <c r="L152" s="549"/>
      <c r="M152" s="549"/>
      <c r="N152" s="549"/>
      <c r="O152" s="550"/>
      <c r="P152" s="155"/>
    </row>
    <row r="153" spans="1:17" ht="14.25" customHeight="1" thickBot="1" x14ac:dyDescent="0.25">
      <c r="A153" s="416"/>
      <c r="B153" s="226"/>
      <c r="C153" s="118"/>
      <c r="D153" s="118"/>
      <c r="E153" s="118"/>
      <c r="F153" s="227"/>
      <c r="G153" s="551"/>
      <c r="H153" s="552"/>
      <c r="I153" s="552"/>
      <c r="J153" s="552"/>
      <c r="K153" s="552"/>
      <c r="L153" s="552"/>
      <c r="M153" s="552"/>
      <c r="N153" s="552"/>
      <c r="O153" s="553"/>
      <c r="P153" s="155"/>
    </row>
    <row r="154" spans="1:17" ht="18" customHeight="1" thickBot="1" x14ac:dyDescent="0.25">
      <c r="A154" s="417"/>
      <c r="B154" s="417"/>
      <c r="C154" s="417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31"/>
    </row>
    <row r="155" spans="1:17" ht="17.100000000000001" customHeight="1" x14ac:dyDescent="0.25">
      <c r="A155" s="398" t="s">
        <v>189</v>
      </c>
      <c r="B155" s="399"/>
      <c r="C155" s="404" t="s">
        <v>190</v>
      </c>
      <c r="D155" s="405"/>
      <c r="E155" s="405"/>
      <c r="F155" s="410"/>
      <c r="G155" s="411"/>
      <c r="H155" s="17"/>
      <c r="I155" s="414" t="s">
        <v>191</v>
      </c>
      <c r="J155" s="438" t="str">
        <f>K3</f>
        <v>Period 10</v>
      </c>
      <c r="K155" s="453" t="s">
        <v>192</v>
      </c>
      <c r="L155" s="454"/>
      <c r="M155" s="454"/>
      <c r="N155" s="455"/>
      <c r="O155" s="343">
        <f>O37+O83+O66+O87+O69+O99+O92</f>
        <v>0</v>
      </c>
      <c r="P155" s="156"/>
    </row>
    <row r="156" spans="1:17" ht="17.100000000000001" customHeight="1" x14ac:dyDescent="0.25">
      <c r="A156" s="400"/>
      <c r="B156" s="401"/>
      <c r="C156" s="407"/>
      <c r="D156" s="408"/>
      <c r="E156" s="408"/>
      <c r="F156" s="412"/>
      <c r="G156" s="413"/>
      <c r="H156" s="17"/>
      <c r="I156" s="415"/>
      <c r="J156" s="439"/>
      <c r="K156" s="444" t="s">
        <v>193</v>
      </c>
      <c r="L156" s="445"/>
      <c r="M156" s="445"/>
      <c r="N156" s="446"/>
      <c r="O156" s="344">
        <f>O149+O150</f>
        <v>0</v>
      </c>
      <c r="P156" s="156"/>
      <c r="Q156" s="23"/>
    </row>
    <row r="157" spans="1:17" ht="17.100000000000001" customHeight="1" thickBot="1" x14ac:dyDescent="0.3">
      <c r="A157" s="402"/>
      <c r="B157" s="403"/>
      <c r="C157" s="441" t="s">
        <v>194</v>
      </c>
      <c r="D157" s="442"/>
      <c r="E157" s="443"/>
      <c r="F157" s="394" t="str">
        <f>IF(O158&lt;&gt;0,F155/O158,"-")</f>
        <v>-</v>
      </c>
      <c r="G157" s="395"/>
      <c r="H157" s="17"/>
      <c r="I157" s="415"/>
      <c r="J157" s="439"/>
      <c r="K157" s="447" t="s">
        <v>195</v>
      </c>
      <c r="L157" s="448"/>
      <c r="M157" s="448"/>
      <c r="N157" s="449"/>
      <c r="O157" s="345">
        <f>O155+O156</f>
        <v>0</v>
      </c>
      <c r="P157" s="156"/>
    </row>
    <row r="158" spans="1:17" ht="17.100000000000001" customHeight="1" thickBot="1" x14ac:dyDescent="0.3">
      <c r="A158" s="396"/>
      <c r="B158" s="396"/>
      <c r="C158" s="396"/>
      <c r="D158" s="396"/>
      <c r="E158" s="396"/>
      <c r="F158" s="396"/>
      <c r="G158" s="396"/>
      <c r="H158" s="397"/>
      <c r="I158" s="416"/>
      <c r="J158" s="440"/>
      <c r="K158" s="450" t="s">
        <v>196</v>
      </c>
      <c r="L158" s="451"/>
      <c r="M158" s="451"/>
      <c r="N158" s="452"/>
      <c r="O158" s="346">
        <f>O157+F155</f>
        <v>0</v>
      </c>
      <c r="P158" s="156"/>
    </row>
    <row r="166" spans="17:17" x14ac:dyDescent="0.2">
      <c r="Q166" s="23"/>
    </row>
  </sheetData>
  <sheetProtection algorithmName="SHA-512" hashValue="L1A3PxFXPUKATLxqm333ulIKm9GwMk8Pe/SMXv+FdLhm4xgoY4W+6FX7KlDJTmt1naQ5xJkrgVgz2/5ujFoz/Q==" saltValue="tJ36YjkF3G5VO9x7ew3atg==" spinCount="100000" sheet="1" formatRows="0" insertRows="0"/>
  <mergeCells count="224">
    <mergeCell ref="A154:O154"/>
    <mergeCell ref="A155:B157"/>
    <mergeCell ref="C155:E156"/>
    <mergeCell ref="F155:G156"/>
    <mergeCell ref="I155:I158"/>
    <mergeCell ref="J155:J158"/>
    <mergeCell ref="C157:E157"/>
    <mergeCell ref="F157:G157"/>
    <mergeCell ref="K157:N157"/>
    <mergeCell ref="A158:H158"/>
    <mergeCell ref="K158:N158"/>
    <mergeCell ref="A5:C6"/>
    <mergeCell ref="D5:F6"/>
    <mergeCell ref="K5:K6"/>
    <mergeCell ref="L5:L6"/>
    <mergeCell ref="A7:C10"/>
    <mergeCell ref="D7:F10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A36:O36"/>
    <mergeCell ref="A37:A81"/>
    <mergeCell ref="B38:C38"/>
    <mergeCell ref="G38:H38"/>
    <mergeCell ref="B39:C39"/>
    <mergeCell ref="G39:H39"/>
    <mergeCell ref="B40:C40"/>
    <mergeCell ref="G40:H40"/>
    <mergeCell ref="B41:C41"/>
    <mergeCell ref="B45:C45"/>
    <mergeCell ref="G45:H45"/>
    <mergeCell ref="B46:C46"/>
    <mergeCell ref="G46:H46"/>
    <mergeCell ref="B47:C47"/>
    <mergeCell ref="G47:H47"/>
    <mergeCell ref="G41:H41"/>
    <mergeCell ref="B42:C42"/>
    <mergeCell ref="G42:H42"/>
    <mergeCell ref="B43:C43"/>
    <mergeCell ref="G43:H43"/>
    <mergeCell ref="B44:C44"/>
    <mergeCell ref="G44:H44"/>
    <mergeCell ref="B51:C51"/>
    <mergeCell ref="G51:H51"/>
    <mergeCell ref="B52:C52"/>
    <mergeCell ref="G52:H52"/>
    <mergeCell ref="B53:C53"/>
    <mergeCell ref="G53:H53"/>
    <mergeCell ref="B48:C48"/>
    <mergeCell ref="G48:H48"/>
    <mergeCell ref="B49:C49"/>
    <mergeCell ref="G49:H49"/>
    <mergeCell ref="B50:C50"/>
    <mergeCell ref="G50:H50"/>
    <mergeCell ref="B57:C57"/>
    <mergeCell ref="G57:H57"/>
    <mergeCell ref="B58:C58"/>
    <mergeCell ref="G58:H58"/>
    <mergeCell ref="B59:C59"/>
    <mergeCell ref="G59:H59"/>
    <mergeCell ref="B54:C54"/>
    <mergeCell ref="G54:H54"/>
    <mergeCell ref="B55:C55"/>
    <mergeCell ref="G55:H55"/>
    <mergeCell ref="B56:C56"/>
    <mergeCell ref="G56:H56"/>
    <mergeCell ref="B63:C63"/>
    <mergeCell ref="G63:H63"/>
    <mergeCell ref="B64:C64"/>
    <mergeCell ref="G64:H64"/>
    <mergeCell ref="B65:C65"/>
    <mergeCell ref="G65:H65"/>
    <mergeCell ref="B60:C60"/>
    <mergeCell ref="G60:H60"/>
    <mergeCell ref="B61:C61"/>
    <mergeCell ref="G61:H61"/>
    <mergeCell ref="B62:C62"/>
    <mergeCell ref="G62:H62"/>
    <mergeCell ref="B70:N70"/>
    <mergeCell ref="B78:N78"/>
    <mergeCell ref="B79:N79"/>
    <mergeCell ref="B66:M66"/>
    <mergeCell ref="B67:N67"/>
    <mergeCell ref="B68:N68"/>
    <mergeCell ref="B69:M69"/>
    <mergeCell ref="B71:M71"/>
    <mergeCell ref="B72:M72"/>
    <mergeCell ref="B73:M73"/>
    <mergeCell ref="B74:M74"/>
    <mergeCell ref="B75:M75"/>
    <mergeCell ref="B76:M76"/>
    <mergeCell ref="B77:N77"/>
    <mergeCell ref="B89:N89"/>
    <mergeCell ref="B90:N90"/>
    <mergeCell ref="B91:N91"/>
    <mergeCell ref="B92:M92"/>
    <mergeCell ref="B93:N93"/>
    <mergeCell ref="B94:N94"/>
    <mergeCell ref="B80:N80"/>
    <mergeCell ref="B81:N81"/>
    <mergeCell ref="A82:O82"/>
    <mergeCell ref="A83:A97"/>
    <mergeCell ref="B83:M83"/>
    <mergeCell ref="B84:N84"/>
    <mergeCell ref="B85:N85"/>
    <mergeCell ref="B86:N86"/>
    <mergeCell ref="B87:M87"/>
    <mergeCell ref="B88:N88"/>
    <mergeCell ref="B95:N95"/>
    <mergeCell ref="B96:N96"/>
    <mergeCell ref="B97:N97"/>
    <mergeCell ref="B98:O98"/>
    <mergeCell ref="A99:A121"/>
    <mergeCell ref="B99:M99"/>
    <mergeCell ref="B100:B121"/>
    <mergeCell ref="C103:E103"/>
    <mergeCell ref="F103:G103"/>
    <mergeCell ref="H103:I103"/>
    <mergeCell ref="N103:O103"/>
    <mergeCell ref="C104:E104"/>
    <mergeCell ref="F104:G104"/>
    <mergeCell ref="H104:I104"/>
    <mergeCell ref="N104:O104"/>
    <mergeCell ref="C101:E101"/>
    <mergeCell ref="F101:G101"/>
    <mergeCell ref="H101:I101"/>
    <mergeCell ref="N101:O101"/>
    <mergeCell ref="C102:E102"/>
    <mergeCell ref="F102:G102"/>
    <mergeCell ref="H102:I102"/>
    <mergeCell ref="N102:O102"/>
    <mergeCell ref="C107:E107"/>
    <mergeCell ref="F107:G107"/>
    <mergeCell ref="H107:I107"/>
    <mergeCell ref="N107:O107"/>
    <mergeCell ref="C108:E108"/>
    <mergeCell ref="F108:G108"/>
    <mergeCell ref="H108:I108"/>
    <mergeCell ref="N108:O108"/>
    <mergeCell ref="C105:E105"/>
    <mergeCell ref="F105:G105"/>
    <mergeCell ref="H105:I105"/>
    <mergeCell ref="N105:O105"/>
    <mergeCell ref="C106:E106"/>
    <mergeCell ref="F106:G106"/>
    <mergeCell ref="H106:I106"/>
    <mergeCell ref="N106:O106"/>
    <mergeCell ref="C111:E111"/>
    <mergeCell ref="F111:G111"/>
    <mergeCell ref="H111:I111"/>
    <mergeCell ref="N111:O111"/>
    <mergeCell ref="C112:E112"/>
    <mergeCell ref="F112:G112"/>
    <mergeCell ref="H112:I112"/>
    <mergeCell ref="N112:O112"/>
    <mergeCell ref="C109:E109"/>
    <mergeCell ref="F109:G109"/>
    <mergeCell ref="H109:I109"/>
    <mergeCell ref="N109:O109"/>
    <mergeCell ref="C110:E110"/>
    <mergeCell ref="F110:G110"/>
    <mergeCell ref="H110:I110"/>
    <mergeCell ref="N110:O110"/>
    <mergeCell ref="C115:E115"/>
    <mergeCell ref="F115:G115"/>
    <mergeCell ref="H115:I115"/>
    <mergeCell ref="N115:O115"/>
    <mergeCell ref="C116:E116"/>
    <mergeCell ref="F116:G116"/>
    <mergeCell ref="H116:I116"/>
    <mergeCell ref="N116:O116"/>
    <mergeCell ref="C113:E113"/>
    <mergeCell ref="F113:G113"/>
    <mergeCell ref="H113:I113"/>
    <mergeCell ref="N113:O113"/>
    <mergeCell ref="C114:E114"/>
    <mergeCell ref="F114:G114"/>
    <mergeCell ref="H114:I114"/>
    <mergeCell ref="N114:O114"/>
    <mergeCell ref="F119:G119"/>
    <mergeCell ref="H119:I119"/>
    <mergeCell ref="N119:O119"/>
    <mergeCell ref="C120:E120"/>
    <mergeCell ref="F120:G120"/>
    <mergeCell ref="H120:I120"/>
    <mergeCell ref="N120:O120"/>
    <mergeCell ref="C117:E117"/>
    <mergeCell ref="F117:G117"/>
    <mergeCell ref="H117:I117"/>
    <mergeCell ref="N117:O117"/>
    <mergeCell ref="C118:E118"/>
    <mergeCell ref="F118:G118"/>
    <mergeCell ref="H118:I118"/>
    <mergeCell ref="N118:O118"/>
    <mergeCell ref="F100:G100"/>
    <mergeCell ref="H100:I100"/>
    <mergeCell ref="N100:O100"/>
    <mergeCell ref="B146:F146"/>
    <mergeCell ref="B151:F151"/>
    <mergeCell ref="B37:J37"/>
    <mergeCell ref="K37:L37"/>
    <mergeCell ref="K155:N155"/>
    <mergeCell ref="K156:N156"/>
    <mergeCell ref="L146:N146"/>
    <mergeCell ref="C121:E121"/>
    <mergeCell ref="F121:G121"/>
    <mergeCell ref="H121:I121"/>
    <mergeCell ref="A122:O122"/>
    <mergeCell ref="B144:F144"/>
    <mergeCell ref="L144:N144"/>
    <mergeCell ref="B145:F145"/>
    <mergeCell ref="L145:N145"/>
    <mergeCell ref="A144:A153"/>
    <mergeCell ref="G144:K150"/>
    <mergeCell ref="L149:N149"/>
    <mergeCell ref="L150:N150"/>
    <mergeCell ref="G151:O153"/>
    <mergeCell ref="C119:E119"/>
  </mergeCells>
  <conditionalFormatting sqref="J39:J65">
    <cfRule type="expression" dxfId="0" priority="1">
      <formula>E39&lt;&gt;"Hourly"</formula>
    </cfRule>
  </conditionalFormatting>
  <dataValidations count="2">
    <dataValidation type="list" allowBlank="1" showInputMessage="1" showErrorMessage="1" sqref="F39:F65" xr:uid="{00000000-0002-0000-0B00-000000000000}">
      <formula1>INDIRECT(E39)</formula1>
    </dataValidation>
    <dataValidation type="list" allowBlank="1" showInputMessage="1" showErrorMessage="1" sqref="E39:E65" xr:uid="{00000000-0002-0000-0B00-000001000000}">
      <formula1>$B$12:$B$17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63"/>
  <sheetViews>
    <sheetView zoomScale="120" zoomScaleNormal="120" workbookViewId="0">
      <selection activeCell="Q26" sqref="Q26"/>
    </sheetView>
  </sheetViews>
  <sheetFormatPr defaultColWidth="9.28515625" defaultRowHeight="12.75" x14ac:dyDescent="0.2"/>
  <cols>
    <col min="1" max="1" width="6.28515625" style="159" bestFit="1" customWidth="1"/>
    <col min="2" max="2" width="6.28515625" style="159" customWidth="1"/>
    <col min="3" max="3" width="33.42578125" style="159" customWidth="1"/>
    <col min="4" max="4" width="21.42578125" style="159" customWidth="1"/>
    <col min="5" max="14" width="15.7109375" style="159" customWidth="1"/>
    <col min="15" max="15" width="17.28515625" style="159" customWidth="1"/>
    <col min="16" max="16384" width="9.28515625" style="159"/>
  </cols>
  <sheetData>
    <row r="1" spans="1:21" ht="22.35" customHeight="1" x14ac:dyDescent="0.2">
      <c r="A1" s="595"/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65"/>
      <c r="Q1" s="65"/>
      <c r="R1" s="65"/>
      <c r="S1" s="65"/>
      <c r="T1" s="65"/>
      <c r="U1" s="65"/>
    </row>
    <row r="2" spans="1:21" ht="35.25" customHeight="1" x14ac:dyDescent="0.25">
      <c r="A2" s="512" t="s">
        <v>211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66"/>
      <c r="Q2" s="223" t="str">
        <f>'Per1'!Q2</f>
        <v>Revised 8/30/24</v>
      </c>
      <c r="R2" s="66"/>
      <c r="S2" s="66"/>
      <c r="T2" s="66"/>
      <c r="U2" s="66"/>
    </row>
    <row r="3" spans="1:21" ht="10.15" customHeight="1" x14ac:dyDescent="0.2">
      <c r="A3" s="598" t="s">
        <v>62</v>
      </c>
      <c r="B3" s="599"/>
      <c r="C3" s="613">
        <f>'Per1'!D3</f>
        <v>0</v>
      </c>
      <c r="D3" s="613"/>
      <c r="E3" s="613"/>
      <c r="F3" s="613"/>
      <c r="G3" s="613"/>
      <c r="H3" s="606"/>
      <c r="I3" s="160"/>
      <c r="J3" s="608"/>
      <c r="K3" s="608"/>
      <c r="L3" s="608"/>
      <c r="M3" s="608"/>
      <c r="N3" s="608"/>
      <c r="O3" s="161"/>
    </row>
    <row r="4" spans="1:21" ht="10.15" customHeight="1" x14ac:dyDescent="0.2">
      <c r="A4" s="600"/>
      <c r="B4" s="601"/>
      <c r="C4" s="614"/>
      <c r="D4" s="614"/>
      <c r="E4" s="614"/>
      <c r="F4" s="614"/>
      <c r="G4" s="614"/>
      <c r="H4" s="607"/>
      <c r="I4" s="162"/>
      <c r="J4" s="609"/>
      <c r="K4" s="609"/>
      <c r="L4" s="609"/>
      <c r="M4" s="609"/>
      <c r="N4" s="609"/>
      <c r="O4" s="163"/>
    </row>
    <row r="5" spans="1:21" ht="10.15" customHeight="1" x14ac:dyDescent="0.2">
      <c r="A5" s="600" t="s">
        <v>67</v>
      </c>
      <c r="B5" s="601"/>
      <c r="C5" s="614">
        <f>'Per1'!D5</f>
        <v>0</v>
      </c>
      <c r="D5" s="614"/>
      <c r="E5" s="614"/>
      <c r="F5" s="614"/>
      <c r="G5" s="614"/>
      <c r="H5" s="164"/>
      <c r="I5" s="165"/>
      <c r="J5" s="609"/>
      <c r="K5" s="609"/>
      <c r="L5" s="609"/>
      <c r="M5" s="609"/>
      <c r="N5" s="609"/>
      <c r="O5" s="166"/>
    </row>
    <row r="6" spans="1:21" ht="10.15" customHeight="1" x14ac:dyDescent="0.2">
      <c r="A6" s="600"/>
      <c r="B6" s="601"/>
      <c r="C6" s="614"/>
      <c r="D6" s="614"/>
      <c r="E6" s="614"/>
      <c r="F6" s="614"/>
      <c r="G6" s="614"/>
      <c r="H6" s="164"/>
      <c r="I6" s="165"/>
      <c r="J6" s="609"/>
      <c r="K6" s="609"/>
      <c r="L6" s="609"/>
      <c r="M6" s="609"/>
      <c r="N6" s="609"/>
      <c r="O6" s="166"/>
    </row>
    <row r="7" spans="1:21" x14ac:dyDescent="0.2">
      <c r="A7" s="600" t="s">
        <v>212</v>
      </c>
      <c r="B7" s="601"/>
      <c r="C7" s="604">
        <f>'Per1'!D7</f>
        <v>0</v>
      </c>
      <c r="D7" s="604"/>
      <c r="E7" s="604"/>
      <c r="F7" s="604"/>
      <c r="G7" s="604"/>
      <c r="H7" s="164"/>
      <c r="I7" s="165"/>
      <c r="J7" s="609"/>
      <c r="K7" s="609"/>
      <c r="L7" s="609"/>
      <c r="M7" s="609"/>
      <c r="N7" s="609"/>
      <c r="O7" s="166"/>
    </row>
    <row r="8" spans="1:21" x14ac:dyDescent="0.2">
      <c r="A8" s="600"/>
      <c r="B8" s="601"/>
      <c r="C8" s="604"/>
      <c r="D8" s="604"/>
      <c r="E8" s="604"/>
      <c r="F8" s="604"/>
      <c r="G8" s="604"/>
      <c r="H8" s="164"/>
      <c r="I8" s="165"/>
      <c r="J8" s="609"/>
      <c r="K8" s="609"/>
      <c r="L8" s="609"/>
      <c r="M8" s="609"/>
      <c r="N8" s="609"/>
      <c r="O8" s="166"/>
    </row>
    <row r="9" spans="1:21" x14ac:dyDescent="0.2">
      <c r="A9" s="611"/>
      <c r="B9" s="612"/>
      <c r="C9" s="605"/>
      <c r="D9" s="605"/>
      <c r="E9" s="605"/>
      <c r="F9" s="605"/>
      <c r="G9" s="605"/>
      <c r="H9" s="167"/>
      <c r="I9" s="167"/>
      <c r="J9" s="610"/>
      <c r="K9" s="610"/>
      <c r="L9" s="610"/>
      <c r="M9" s="610"/>
      <c r="N9" s="610"/>
      <c r="O9" s="168"/>
    </row>
    <row r="10" spans="1:21" x14ac:dyDescent="0.2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</row>
    <row r="11" spans="1:21" ht="16.149999999999999" customHeight="1" x14ac:dyDescent="0.2">
      <c r="A11" s="169"/>
      <c r="B11" s="169"/>
      <c r="C11" s="169"/>
      <c r="D11" s="169"/>
      <c r="E11" s="170" t="s">
        <v>63</v>
      </c>
      <c r="F11" s="170" t="s">
        <v>197</v>
      </c>
      <c r="G11" s="170" t="s">
        <v>200</v>
      </c>
      <c r="H11" s="170" t="s">
        <v>202</v>
      </c>
      <c r="I11" s="170" t="s">
        <v>203</v>
      </c>
      <c r="J11" s="170" t="s">
        <v>204</v>
      </c>
      <c r="K11" s="170" t="s">
        <v>207</v>
      </c>
      <c r="L11" s="170" t="s">
        <v>208</v>
      </c>
      <c r="M11" s="170" t="s">
        <v>209</v>
      </c>
      <c r="N11" s="170" t="s">
        <v>210</v>
      </c>
      <c r="O11" s="170" t="s">
        <v>213</v>
      </c>
    </row>
    <row r="12" spans="1:21" ht="15.75" customHeight="1" x14ac:dyDescent="0.2">
      <c r="A12" s="169"/>
      <c r="B12" s="169"/>
      <c r="C12" s="169"/>
      <c r="D12" s="241" t="s">
        <v>214</v>
      </c>
      <c r="E12" s="171">
        <f>'Per1'!$L$5</f>
        <v>45536</v>
      </c>
      <c r="F12" s="364">
        <f>'Per2'!$L$5</f>
        <v>45901</v>
      </c>
      <c r="G12" s="364">
        <f>'Per3'!$L$5</f>
        <v>46266</v>
      </c>
      <c r="H12" s="364">
        <f>'Per4'!$L$5</f>
        <v>46631</v>
      </c>
      <c r="I12" s="364">
        <f>'Per5'!$L$5</f>
        <v>46997</v>
      </c>
      <c r="J12" s="364">
        <f>'Per6'!$L$5</f>
        <v>47362</v>
      </c>
      <c r="K12" s="364">
        <f>'Per7'!$L$5</f>
        <v>47727</v>
      </c>
      <c r="L12" s="364">
        <f>'Per8'!$L$5</f>
        <v>48092</v>
      </c>
      <c r="M12" s="364">
        <f>'Per9'!$L$5</f>
        <v>48458</v>
      </c>
      <c r="N12" s="364">
        <f>'Per10'!$L$5</f>
        <v>48823</v>
      </c>
      <c r="O12" s="171">
        <f>E12</f>
        <v>45536</v>
      </c>
    </row>
    <row r="13" spans="1:21" ht="16.149999999999999" customHeight="1" x14ac:dyDescent="0.2">
      <c r="A13" s="169"/>
      <c r="B13" s="169"/>
      <c r="C13" s="169"/>
      <c r="D13" s="241" t="s">
        <v>215</v>
      </c>
      <c r="E13" s="171">
        <f>'Per1'!$L$7</f>
        <v>45900</v>
      </c>
      <c r="F13" s="364">
        <f>'Per2'!$L$7</f>
        <v>46265</v>
      </c>
      <c r="G13" s="364">
        <f>'Per3'!$L$7</f>
        <v>46630</v>
      </c>
      <c r="H13" s="364">
        <f>'Per4'!$L$7</f>
        <v>46996</v>
      </c>
      <c r="I13" s="364">
        <f>'Per5'!$L$7</f>
        <v>47361</v>
      </c>
      <c r="J13" s="364">
        <f>'Per6'!$L$7</f>
        <v>47726</v>
      </c>
      <c r="K13" s="364">
        <f>'Per7'!$L$7</f>
        <v>48091</v>
      </c>
      <c r="L13" s="364">
        <f>'Per8'!$L$7</f>
        <v>48457</v>
      </c>
      <c r="M13" s="364">
        <f>'Per9'!$L$7</f>
        <v>48822</v>
      </c>
      <c r="N13" s="364">
        <f>'Per10'!$L$7</f>
        <v>49187</v>
      </c>
      <c r="O13" s="171">
        <f>MAX(E13:N13)</f>
        <v>49187</v>
      </c>
    </row>
    <row r="14" spans="1:21" ht="14.1" customHeight="1" x14ac:dyDescent="0.2">
      <c r="A14" s="596" t="s">
        <v>216</v>
      </c>
      <c r="B14" s="596"/>
      <c r="C14" s="597"/>
      <c r="D14" s="172" t="s">
        <v>217</v>
      </c>
      <c r="E14" s="173">
        <f>SUM(E15:E16)</f>
        <v>0</v>
      </c>
      <c r="F14" s="173">
        <f t="shared" ref="F14:N14" si="0">SUM(F15:F16)</f>
        <v>0</v>
      </c>
      <c r="G14" s="173">
        <f t="shared" si="0"/>
        <v>0</v>
      </c>
      <c r="H14" s="173">
        <f t="shared" si="0"/>
        <v>0</v>
      </c>
      <c r="I14" s="173">
        <f t="shared" si="0"/>
        <v>0</v>
      </c>
      <c r="J14" s="173">
        <f t="shared" si="0"/>
        <v>0</v>
      </c>
      <c r="K14" s="173">
        <f t="shared" si="0"/>
        <v>0</v>
      </c>
      <c r="L14" s="173">
        <f t="shared" si="0"/>
        <v>0</v>
      </c>
      <c r="M14" s="173">
        <f t="shared" si="0"/>
        <v>0</v>
      </c>
      <c r="N14" s="173">
        <f t="shared" si="0"/>
        <v>0</v>
      </c>
      <c r="O14" s="173">
        <f>SUM(E14:I14)</f>
        <v>0</v>
      </c>
    </row>
    <row r="15" spans="1:21" ht="14.1" customHeight="1" x14ac:dyDescent="0.2">
      <c r="A15" s="174"/>
      <c r="B15" s="175" t="s">
        <v>218</v>
      </c>
      <c r="C15" s="590" t="s">
        <v>219</v>
      </c>
      <c r="D15" s="591"/>
      <c r="E15" s="176">
        <f>'Per1'!$M$37</f>
        <v>0</v>
      </c>
      <c r="F15" s="176">
        <f>'Per2'!$M$37</f>
        <v>0</v>
      </c>
      <c r="G15" s="176">
        <f>'Per3'!$M$37</f>
        <v>0</v>
      </c>
      <c r="H15" s="176">
        <f>'Per4'!$M$37</f>
        <v>0</v>
      </c>
      <c r="I15" s="176">
        <f>'Per5'!$M$37</f>
        <v>0</v>
      </c>
      <c r="J15" s="176">
        <f>'Per6'!$M$37</f>
        <v>0</v>
      </c>
      <c r="K15" s="176">
        <f>'Per7'!$M$37</f>
        <v>0</v>
      </c>
      <c r="L15" s="176">
        <f>'Per8'!$M$37</f>
        <v>0</v>
      </c>
      <c r="M15" s="176">
        <f>'Per9'!$M$37</f>
        <v>0</v>
      </c>
      <c r="N15" s="176">
        <f>'Per10'!$M$37</f>
        <v>0</v>
      </c>
      <c r="O15" s="177">
        <f>SUM(E15:N15)</f>
        <v>0</v>
      </c>
    </row>
    <row r="16" spans="1:21" ht="14.1" customHeight="1" x14ac:dyDescent="0.2">
      <c r="A16" s="174"/>
      <c r="B16" s="175" t="s">
        <v>220</v>
      </c>
      <c r="C16" s="590" t="s">
        <v>221</v>
      </c>
      <c r="D16" s="591"/>
      <c r="E16" s="176">
        <f>'Per1'!$N$37</f>
        <v>0</v>
      </c>
      <c r="F16" s="176">
        <f>'Per2'!$N$37</f>
        <v>0</v>
      </c>
      <c r="G16" s="176">
        <f>'Per3'!$N$37</f>
        <v>0</v>
      </c>
      <c r="H16" s="176">
        <f>'Per4'!$N$37</f>
        <v>0</v>
      </c>
      <c r="I16" s="176">
        <f>'Per5'!$N$37</f>
        <v>0</v>
      </c>
      <c r="J16" s="176">
        <f>'Per6'!$N$37</f>
        <v>0</v>
      </c>
      <c r="K16" s="176">
        <f>'Per7'!$N$37</f>
        <v>0</v>
      </c>
      <c r="L16" s="176">
        <f>'Per8'!$N$37</f>
        <v>0</v>
      </c>
      <c r="M16" s="176">
        <f>'Per9'!$N$37</f>
        <v>0</v>
      </c>
      <c r="N16" s="176">
        <f>'Per10'!$N$37</f>
        <v>0</v>
      </c>
      <c r="O16" s="177">
        <f>SUM(E16:N16)</f>
        <v>0</v>
      </c>
    </row>
    <row r="17" spans="1:15" ht="14.1" customHeight="1" x14ac:dyDescent="0.2">
      <c r="A17" s="587" t="s">
        <v>112</v>
      </c>
      <c r="B17" s="592"/>
      <c r="C17" s="592"/>
      <c r="D17" s="178" t="s">
        <v>217</v>
      </c>
      <c r="E17" s="179">
        <f>SUM(E18:E19)</f>
        <v>0</v>
      </c>
      <c r="F17" s="179">
        <f t="shared" ref="F17:N17" si="1">SUM(F18:F19)</f>
        <v>0</v>
      </c>
      <c r="G17" s="179">
        <f t="shared" si="1"/>
        <v>0</v>
      </c>
      <c r="H17" s="179">
        <f t="shared" si="1"/>
        <v>0</v>
      </c>
      <c r="I17" s="179">
        <f t="shared" si="1"/>
        <v>0</v>
      </c>
      <c r="J17" s="179">
        <f t="shared" si="1"/>
        <v>0</v>
      </c>
      <c r="K17" s="179">
        <f t="shared" si="1"/>
        <v>0</v>
      </c>
      <c r="L17" s="179">
        <f t="shared" si="1"/>
        <v>0</v>
      </c>
      <c r="M17" s="179">
        <f t="shared" si="1"/>
        <v>0</v>
      </c>
      <c r="N17" s="179">
        <f t="shared" si="1"/>
        <v>0</v>
      </c>
      <c r="O17" s="180">
        <f t="shared" ref="O17" si="2">SUM(E17:I17)</f>
        <v>0</v>
      </c>
    </row>
    <row r="18" spans="1:15" ht="14.1" customHeight="1" x14ac:dyDescent="0.2">
      <c r="A18" s="174"/>
      <c r="B18" s="175" t="s">
        <v>222</v>
      </c>
      <c r="C18" s="590" t="s">
        <v>223</v>
      </c>
      <c r="D18" s="591"/>
      <c r="E18" s="176">
        <f>'Per1'!$O$67</f>
        <v>0</v>
      </c>
      <c r="F18" s="176">
        <f>'Per2'!$O$67</f>
        <v>0</v>
      </c>
      <c r="G18" s="176">
        <f>'Per3'!$O$67</f>
        <v>0</v>
      </c>
      <c r="H18" s="176">
        <f>'Per4'!$O$67</f>
        <v>0</v>
      </c>
      <c r="I18" s="176">
        <f>'Per5'!$O$67</f>
        <v>0</v>
      </c>
      <c r="J18" s="176">
        <f>'Per6'!$O$67</f>
        <v>0</v>
      </c>
      <c r="K18" s="176">
        <f>'Per7'!$O$67</f>
        <v>0</v>
      </c>
      <c r="L18" s="176">
        <f>'Per8'!$O$67</f>
        <v>0</v>
      </c>
      <c r="M18" s="176">
        <f>'Per9'!$O$67</f>
        <v>0</v>
      </c>
      <c r="N18" s="176">
        <f>'Per10'!$O$67</f>
        <v>0</v>
      </c>
      <c r="O18" s="177">
        <f t="shared" ref="O18:O25" si="3">SUM(E18:N18)</f>
        <v>0</v>
      </c>
    </row>
    <row r="19" spans="1:15" ht="14.1" customHeight="1" x14ac:dyDescent="0.2">
      <c r="A19" s="174"/>
      <c r="B19" s="175" t="s">
        <v>224</v>
      </c>
      <c r="C19" s="590" t="s">
        <v>225</v>
      </c>
      <c r="D19" s="591"/>
      <c r="E19" s="176">
        <f>'Per1'!$O$68</f>
        <v>0</v>
      </c>
      <c r="F19" s="176">
        <f>'Per2'!$O$68</f>
        <v>0</v>
      </c>
      <c r="G19" s="176">
        <f>'Per3'!$O$68</f>
        <v>0</v>
      </c>
      <c r="H19" s="176">
        <f>'Per4'!$O$68</f>
        <v>0</v>
      </c>
      <c r="I19" s="176">
        <f>'Per5'!$O$68</f>
        <v>0</v>
      </c>
      <c r="J19" s="176">
        <f>'Per6'!$O$68</f>
        <v>0</v>
      </c>
      <c r="K19" s="176">
        <f>'Per7'!$O$68</f>
        <v>0</v>
      </c>
      <c r="L19" s="176">
        <f>'Per8'!$O$68</f>
        <v>0</v>
      </c>
      <c r="M19" s="176">
        <f>'Per9'!$O$68</f>
        <v>0</v>
      </c>
      <c r="N19" s="176">
        <f>'Per10'!$O$68</f>
        <v>0</v>
      </c>
      <c r="O19" s="177">
        <f t="shared" si="3"/>
        <v>0</v>
      </c>
    </row>
    <row r="20" spans="1:15" ht="14.1" customHeight="1" x14ac:dyDescent="0.2">
      <c r="A20" s="587" t="s">
        <v>226</v>
      </c>
      <c r="B20" s="592"/>
      <c r="C20" s="592"/>
      <c r="D20" s="178" t="s">
        <v>217</v>
      </c>
      <c r="E20" s="179">
        <f>SUM(E21:E23)</f>
        <v>0</v>
      </c>
      <c r="F20" s="179">
        <f t="shared" ref="F20:N20" si="4">SUM(F21:F23)</f>
        <v>0</v>
      </c>
      <c r="G20" s="179">
        <f t="shared" si="4"/>
        <v>0</v>
      </c>
      <c r="H20" s="179">
        <f t="shared" si="4"/>
        <v>0</v>
      </c>
      <c r="I20" s="179">
        <f t="shared" si="4"/>
        <v>0</v>
      </c>
      <c r="J20" s="179">
        <f t="shared" si="4"/>
        <v>0</v>
      </c>
      <c r="K20" s="179">
        <f t="shared" si="4"/>
        <v>0</v>
      </c>
      <c r="L20" s="179">
        <f t="shared" si="4"/>
        <v>0</v>
      </c>
      <c r="M20" s="179">
        <f t="shared" si="4"/>
        <v>0</v>
      </c>
      <c r="N20" s="179">
        <f t="shared" si="4"/>
        <v>0</v>
      </c>
      <c r="O20" s="180">
        <f t="shared" si="3"/>
        <v>0</v>
      </c>
    </row>
    <row r="21" spans="1:15" ht="14.1" customHeight="1" x14ac:dyDescent="0.2">
      <c r="A21" s="174"/>
      <c r="B21" s="175" t="s">
        <v>227</v>
      </c>
      <c r="C21" s="590" t="s">
        <v>228</v>
      </c>
      <c r="D21" s="591"/>
      <c r="E21" s="176">
        <f>'Per1'!$O$94</f>
        <v>0</v>
      </c>
      <c r="F21" s="176">
        <f>'Per2'!$O$94</f>
        <v>0</v>
      </c>
      <c r="G21" s="176">
        <f>'Per3'!$O$94</f>
        <v>0</v>
      </c>
      <c r="H21" s="176">
        <f>'Per4'!$O$94</f>
        <v>0</v>
      </c>
      <c r="I21" s="176">
        <f>'Per5'!$O$94</f>
        <v>0</v>
      </c>
      <c r="J21" s="176">
        <f>'Per6'!$O$94</f>
        <v>0</v>
      </c>
      <c r="K21" s="176">
        <f>'Per7'!$O$94</f>
        <v>0</v>
      </c>
      <c r="L21" s="176">
        <f>'Per8'!$O$94</f>
        <v>0</v>
      </c>
      <c r="M21" s="176">
        <f>'Per9'!$O$94</f>
        <v>0</v>
      </c>
      <c r="N21" s="176">
        <f>'Per10'!$O$94</f>
        <v>0</v>
      </c>
      <c r="O21" s="177">
        <f t="shared" si="3"/>
        <v>0</v>
      </c>
    </row>
    <row r="22" spans="1:15" ht="14.1" customHeight="1" x14ac:dyDescent="0.2">
      <c r="A22" s="174"/>
      <c r="B22" s="175" t="s">
        <v>229</v>
      </c>
      <c r="C22" s="590" t="s">
        <v>230</v>
      </c>
      <c r="D22" s="591"/>
      <c r="E22" s="176">
        <f>'Per1'!$O$96</f>
        <v>0</v>
      </c>
      <c r="F22" s="176">
        <f>'Per2'!$O$96</f>
        <v>0</v>
      </c>
      <c r="G22" s="176">
        <f>'Per3'!$O$96</f>
        <v>0</v>
      </c>
      <c r="H22" s="176">
        <f>'Per4'!$O$96</f>
        <v>0</v>
      </c>
      <c r="I22" s="176">
        <f>'Per5'!$O$96</f>
        <v>0</v>
      </c>
      <c r="J22" s="176">
        <f>'Per6'!$O$96</f>
        <v>0</v>
      </c>
      <c r="K22" s="176">
        <f>'Per7'!$O$96</f>
        <v>0</v>
      </c>
      <c r="L22" s="176">
        <f>'Per8'!$O$96</f>
        <v>0</v>
      </c>
      <c r="M22" s="176">
        <f>'Per9'!$O$96</f>
        <v>0</v>
      </c>
      <c r="N22" s="176">
        <f>'Per10'!$O$96</f>
        <v>0</v>
      </c>
      <c r="O22" s="177">
        <f t="shared" si="3"/>
        <v>0</v>
      </c>
    </row>
    <row r="23" spans="1:15" ht="14.1" customHeight="1" x14ac:dyDescent="0.2">
      <c r="A23" s="174"/>
      <c r="B23" s="175" t="s">
        <v>231</v>
      </c>
      <c r="C23" s="590" t="s">
        <v>232</v>
      </c>
      <c r="D23" s="591"/>
      <c r="E23" s="176">
        <f>'Per1'!$O$83</f>
        <v>0</v>
      </c>
      <c r="F23" s="176">
        <f>'Per2'!$O$83</f>
        <v>0</v>
      </c>
      <c r="G23" s="176">
        <f>'Per3'!$O$83</f>
        <v>0</v>
      </c>
      <c r="H23" s="176">
        <f>'Per4'!$O$83</f>
        <v>0</v>
      </c>
      <c r="I23" s="176">
        <f>'Per5'!$O$83</f>
        <v>0</v>
      </c>
      <c r="J23" s="176">
        <f>'Per6'!$O$83</f>
        <v>0</v>
      </c>
      <c r="K23" s="176">
        <f>'Per7'!$O$83</f>
        <v>0</v>
      </c>
      <c r="L23" s="176">
        <f>'Per8'!$O$83</f>
        <v>0</v>
      </c>
      <c r="M23" s="176">
        <f>'Per9'!$O$83</f>
        <v>0</v>
      </c>
      <c r="N23" s="176">
        <f>'Per10'!$O$83</f>
        <v>0</v>
      </c>
      <c r="O23" s="177">
        <f t="shared" si="3"/>
        <v>0</v>
      </c>
    </row>
    <row r="24" spans="1:15" ht="14.1" customHeight="1" x14ac:dyDescent="0.2">
      <c r="A24" s="587" t="s">
        <v>233</v>
      </c>
      <c r="B24" s="592"/>
      <c r="C24" s="592"/>
      <c r="D24" s="178" t="s">
        <v>217</v>
      </c>
      <c r="E24" s="179">
        <f t="shared" ref="E24:N24" si="5">SUM(E25:E28,E35:E39)</f>
        <v>0</v>
      </c>
      <c r="F24" s="179">
        <f t="shared" si="5"/>
        <v>0</v>
      </c>
      <c r="G24" s="179">
        <f t="shared" si="5"/>
        <v>0</v>
      </c>
      <c r="H24" s="179">
        <f t="shared" si="5"/>
        <v>0</v>
      </c>
      <c r="I24" s="179">
        <f t="shared" si="5"/>
        <v>0</v>
      </c>
      <c r="J24" s="179">
        <f t="shared" si="5"/>
        <v>0</v>
      </c>
      <c r="K24" s="179">
        <f t="shared" si="5"/>
        <v>0</v>
      </c>
      <c r="L24" s="179">
        <f t="shared" si="5"/>
        <v>0</v>
      </c>
      <c r="M24" s="179">
        <f t="shared" si="5"/>
        <v>0</v>
      </c>
      <c r="N24" s="179">
        <f t="shared" si="5"/>
        <v>0</v>
      </c>
      <c r="O24" s="180">
        <f t="shared" si="3"/>
        <v>0</v>
      </c>
    </row>
    <row r="25" spans="1:15" ht="14.1" customHeight="1" x14ac:dyDescent="0.2">
      <c r="A25" s="181"/>
      <c r="B25" s="175" t="s">
        <v>234</v>
      </c>
      <c r="C25" s="590" t="s">
        <v>235</v>
      </c>
      <c r="D25" s="591"/>
      <c r="E25" s="176">
        <f>'Per1'!$O$80</f>
        <v>0</v>
      </c>
      <c r="F25" s="176">
        <f>'Per2'!$O$80</f>
        <v>0</v>
      </c>
      <c r="G25" s="176">
        <f>'Per3'!$O$80</f>
        <v>0</v>
      </c>
      <c r="H25" s="176">
        <f>'Per4'!$O$80</f>
        <v>0</v>
      </c>
      <c r="I25" s="176">
        <f>'Per5'!$O$80</f>
        <v>0</v>
      </c>
      <c r="J25" s="176">
        <f>'Per6'!$O$80</f>
        <v>0</v>
      </c>
      <c r="K25" s="176">
        <f>'Per7'!$O$80</f>
        <v>0</v>
      </c>
      <c r="L25" s="176">
        <f>'Per8'!$O$80</f>
        <v>0</v>
      </c>
      <c r="M25" s="176">
        <f>'Per9'!$O$80</f>
        <v>0</v>
      </c>
      <c r="N25" s="176">
        <f>'Per10'!$O$80</f>
        <v>0</v>
      </c>
      <c r="O25" s="177">
        <f t="shared" si="3"/>
        <v>0</v>
      </c>
    </row>
    <row r="26" spans="1:15" ht="14.1" customHeight="1" x14ac:dyDescent="0.2">
      <c r="A26" s="174"/>
      <c r="B26" s="175" t="s">
        <v>236</v>
      </c>
      <c r="C26" s="590" t="s">
        <v>237</v>
      </c>
      <c r="D26" s="591"/>
      <c r="E26" s="176">
        <f>'Per1'!$O$77</f>
        <v>0</v>
      </c>
      <c r="F26" s="176">
        <f>'Per2'!$O$77</f>
        <v>0</v>
      </c>
      <c r="G26" s="176">
        <f>'Per3'!$O$77</f>
        <v>0</v>
      </c>
      <c r="H26" s="176">
        <f>'Per4'!$O$77</f>
        <v>0</v>
      </c>
      <c r="I26" s="176">
        <f>'Per5'!$O$77</f>
        <v>0</v>
      </c>
      <c r="J26" s="176">
        <f>'Per6'!$O$77</f>
        <v>0</v>
      </c>
      <c r="K26" s="176">
        <f>'Per7'!$O$77</f>
        <v>0</v>
      </c>
      <c r="L26" s="176">
        <f>'Per8'!$O$77</f>
        <v>0</v>
      </c>
      <c r="M26" s="176">
        <f>'Per9'!$O$77</f>
        <v>0</v>
      </c>
      <c r="N26" s="176">
        <f>'Per10'!$O$77</f>
        <v>0</v>
      </c>
      <c r="O26" s="177">
        <f t="shared" ref="O26:O39" si="6">SUM(E26:N26)</f>
        <v>0</v>
      </c>
    </row>
    <row r="27" spans="1:15" ht="14.1" customHeight="1" x14ac:dyDescent="0.2">
      <c r="A27" s="181"/>
      <c r="B27" s="175" t="s">
        <v>238</v>
      </c>
      <c r="C27" s="590" t="s">
        <v>239</v>
      </c>
      <c r="D27" s="591"/>
      <c r="E27" s="176">
        <f>'Per1'!$O$97</f>
        <v>0</v>
      </c>
      <c r="F27" s="176">
        <f>'Per2'!$O$97</f>
        <v>0</v>
      </c>
      <c r="G27" s="176">
        <f>'Per3'!$O$97</f>
        <v>0</v>
      </c>
      <c r="H27" s="176">
        <f>'Per4'!$O$97</f>
        <v>0</v>
      </c>
      <c r="I27" s="176">
        <f>'Per5'!$O$97</f>
        <v>0</v>
      </c>
      <c r="J27" s="176">
        <f>'Per6'!$O$97</f>
        <v>0</v>
      </c>
      <c r="K27" s="176">
        <f>'Per7'!$O$97</f>
        <v>0</v>
      </c>
      <c r="L27" s="176">
        <f>'Per8'!$O$97</f>
        <v>0</v>
      </c>
      <c r="M27" s="176">
        <f>'Per9'!$O$97</f>
        <v>0</v>
      </c>
      <c r="N27" s="176">
        <f>'Per10'!$O$97</f>
        <v>0</v>
      </c>
      <c r="O27" s="177">
        <f t="shared" si="6"/>
        <v>0</v>
      </c>
    </row>
    <row r="28" spans="1:15" ht="14.1" customHeight="1" x14ac:dyDescent="0.2">
      <c r="A28" s="174"/>
      <c r="B28" s="175" t="s">
        <v>240</v>
      </c>
      <c r="C28" s="590" t="s">
        <v>241</v>
      </c>
      <c r="D28" s="591"/>
      <c r="E28" s="176">
        <f>'Per1'!$O$70</f>
        <v>0</v>
      </c>
      <c r="F28" s="176">
        <f>'Per2'!$O$70</f>
        <v>0</v>
      </c>
      <c r="G28" s="176">
        <f>'Per3'!$O$70</f>
        <v>0</v>
      </c>
      <c r="H28" s="176">
        <f>'Per4'!$O$70</f>
        <v>0</v>
      </c>
      <c r="I28" s="176">
        <f>'Per5'!$O$70</f>
        <v>0</v>
      </c>
      <c r="J28" s="176">
        <f>'Per6'!$O$70</f>
        <v>0</v>
      </c>
      <c r="K28" s="176">
        <f>'Per7'!$O$70</f>
        <v>0</v>
      </c>
      <c r="L28" s="176">
        <f>'Per8'!$O$70</f>
        <v>0</v>
      </c>
      <c r="M28" s="176">
        <f>'Per9'!$O$70</f>
        <v>0</v>
      </c>
      <c r="N28" s="176">
        <f>'Per10'!$O$70</f>
        <v>0</v>
      </c>
      <c r="O28" s="177">
        <f t="shared" si="6"/>
        <v>0</v>
      </c>
    </row>
    <row r="29" spans="1:15" ht="14.1" customHeight="1" x14ac:dyDescent="0.2">
      <c r="A29" s="174"/>
      <c r="B29" s="175"/>
      <c r="C29" s="259" t="s">
        <v>242</v>
      </c>
      <c r="D29" s="260"/>
      <c r="E29" s="320">
        <f>'Per1'!$N$71</f>
        <v>0</v>
      </c>
      <c r="F29" s="320">
        <f>'Per2'!$N$71</f>
        <v>0</v>
      </c>
      <c r="G29" s="320">
        <f>'Per3'!$N$71</f>
        <v>0</v>
      </c>
      <c r="H29" s="320">
        <f>'Per4'!$N$71</f>
        <v>0</v>
      </c>
      <c r="I29" s="320">
        <f>'Per5'!$N$71</f>
        <v>0</v>
      </c>
      <c r="J29" s="320">
        <f>'Per6'!$N$71</f>
        <v>0</v>
      </c>
      <c r="K29" s="320">
        <f>'Per7'!$N$71</f>
        <v>0</v>
      </c>
      <c r="L29" s="320">
        <f>'Per8'!$N$71</f>
        <v>0</v>
      </c>
      <c r="M29" s="320">
        <f>'Per9'!$N$71</f>
        <v>0</v>
      </c>
      <c r="N29" s="320">
        <f>'Per10'!$N$71</f>
        <v>0</v>
      </c>
      <c r="O29" s="321">
        <f t="shared" ref="O29" si="7">SUM(E29:N29)</f>
        <v>0</v>
      </c>
    </row>
    <row r="30" spans="1:15" ht="14.1" customHeight="1" x14ac:dyDescent="0.2">
      <c r="A30" s="174"/>
      <c r="B30" s="175"/>
      <c r="C30" s="577" t="s">
        <v>243</v>
      </c>
      <c r="D30" s="578"/>
      <c r="E30" s="320">
        <f>'Per1'!$N$72</f>
        <v>0</v>
      </c>
      <c r="F30" s="320">
        <f>'Per2'!$N$72</f>
        <v>0</v>
      </c>
      <c r="G30" s="320">
        <f>'Per3'!$N$72</f>
        <v>0</v>
      </c>
      <c r="H30" s="320">
        <f>'Per4'!$N$72</f>
        <v>0</v>
      </c>
      <c r="I30" s="320">
        <f>'Per5'!$N$72</f>
        <v>0</v>
      </c>
      <c r="J30" s="320">
        <f>'Per6'!$N$72</f>
        <v>0</v>
      </c>
      <c r="K30" s="320">
        <f>'Per7'!$N$72</f>
        <v>0</v>
      </c>
      <c r="L30" s="320">
        <f>'Per8'!$N$72</f>
        <v>0</v>
      </c>
      <c r="M30" s="320">
        <f>'Per9'!$N$72</f>
        <v>0</v>
      </c>
      <c r="N30" s="320">
        <f>'Per10'!$N$72</f>
        <v>0</v>
      </c>
      <c r="O30" s="321">
        <f t="shared" si="6"/>
        <v>0</v>
      </c>
    </row>
    <row r="31" spans="1:15" ht="14.1" customHeight="1" x14ac:dyDescent="0.2">
      <c r="A31" s="174"/>
      <c r="B31" s="175"/>
      <c r="C31" s="577" t="s">
        <v>244</v>
      </c>
      <c r="D31" s="578"/>
      <c r="E31" s="320">
        <f>'Per1'!$N$73</f>
        <v>0</v>
      </c>
      <c r="F31" s="320">
        <f>'Per2'!$N$73</f>
        <v>0</v>
      </c>
      <c r="G31" s="320">
        <f>'Per3'!$N$73</f>
        <v>0</v>
      </c>
      <c r="H31" s="320">
        <f>'Per4'!$N$73</f>
        <v>0</v>
      </c>
      <c r="I31" s="320">
        <f>'Per5'!$N$73</f>
        <v>0</v>
      </c>
      <c r="J31" s="320">
        <f>'Per6'!$N$73</f>
        <v>0</v>
      </c>
      <c r="K31" s="320">
        <f>'Per7'!$N$73</f>
        <v>0</v>
      </c>
      <c r="L31" s="320">
        <f>'Per8'!$N$73</f>
        <v>0</v>
      </c>
      <c r="M31" s="320">
        <f>'Per9'!$N$73</f>
        <v>0</v>
      </c>
      <c r="N31" s="320">
        <f>'Per10'!$N$73</f>
        <v>0</v>
      </c>
      <c r="O31" s="321">
        <f t="shared" si="6"/>
        <v>0</v>
      </c>
    </row>
    <row r="32" spans="1:15" ht="14.1" customHeight="1" x14ac:dyDescent="0.2">
      <c r="A32" s="174"/>
      <c r="B32" s="175"/>
      <c r="C32" s="577" t="s">
        <v>245</v>
      </c>
      <c r="D32" s="578"/>
      <c r="E32" s="320">
        <f>'Per1'!$N$74</f>
        <v>0</v>
      </c>
      <c r="F32" s="320">
        <f>'Per2'!$N$74</f>
        <v>0</v>
      </c>
      <c r="G32" s="320">
        <f>'Per3'!$N$74</f>
        <v>0</v>
      </c>
      <c r="H32" s="320">
        <f>'Per4'!$N$74</f>
        <v>0</v>
      </c>
      <c r="I32" s="320">
        <f>'Per5'!$N$74</f>
        <v>0</v>
      </c>
      <c r="J32" s="320">
        <f>'Per6'!$N$74</f>
        <v>0</v>
      </c>
      <c r="K32" s="320">
        <f>'Per7'!$N$74</f>
        <v>0</v>
      </c>
      <c r="L32" s="320">
        <f>'Per8'!$N$74</f>
        <v>0</v>
      </c>
      <c r="M32" s="320">
        <f>'Per9'!$N$74</f>
        <v>0</v>
      </c>
      <c r="N32" s="320">
        <f>'Per10'!$N$74</f>
        <v>0</v>
      </c>
      <c r="O32" s="321">
        <f t="shared" si="6"/>
        <v>0</v>
      </c>
    </row>
    <row r="33" spans="1:15" ht="14.1" customHeight="1" x14ac:dyDescent="0.2">
      <c r="A33" s="174"/>
      <c r="B33" s="175"/>
      <c r="C33" s="577" t="s">
        <v>246</v>
      </c>
      <c r="D33" s="578"/>
      <c r="E33" s="320">
        <f>'Per1'!$N$75</f>
        <v>0</v>
      </c>
      <c r="F33" s="320">
        <f>'Per2'!$N$75</f>
        <v>0</v>
      </c>
      <c r="G33" s="320">
        <f>'Per3'!$N$75</f>
        <v>0</v>
      </c>
      <c r="H33" s="320">
        <f>'Per4'!$N$75</f>
        <v>0</v>
      </c>
      <c r="I33" s="320">
        <f>'Per5'!$N$75</f>
        <v>0</v>
      </c>
      <c r="J33" s="320">
        <f>'Per6'!$N$75</f>
        <v>0</v>
      </c>
      <c r="K33" s="320">
        <f>'Per7'!$N$75</f>
        <v>0</v>
      </c>
      <c r="L33" s="320">
        <f>'Per8'!$N$75</f>
        <v>0</v>
      </c>
      <c r="M33" s="320">
        <f>'Per9'!$N$75</f>
        <v>0</v>
      </c>
      <c r="N33" s="320">
        <f>'Per10'!$N$75</f>
        <v>0</v>
      </c>
      <c r="O33" s="321">
        <f t="shared" ref="O33" si="8">SUM(E33:N33)</f>
        <v>0</v>
      </c>
    </row>
    <row r="34" spans="1:15" ht="14.1" customHeight="1" x14ac:dyDescent="0.2">
      <c r="A34" s="182"/>
      <c r="B34" s="183" t="s">
        <v>247</v>
      </c>
      <c r="C34" s="602" t="s">
        <v>248</v>
      </c>
      <c r="D34" s="603"/>
      <c r="E34" s="320">
        <f>'Per1'!$N$76</f>
        <v>0</v>
      </c>
      <c r="F34" s="320">
        <f>'Per2'!$N$76</f>
        <v>0</v>
      </c>
      <c r="G34" s="320">
        <f>'Per3'!$N$76</f>
        <v>0</v>
      </c>
      <c r="H34" s="320">
        <f>'Per4'!$N$76</f>
        <v>0</v>
      </c>
      <c r="I34" s="320">
        <f>'Per5'!$N$76</f>
        <v>0</v>
      </c>
      <c r="J34" s="320">
        <f>'Per6'!$N$76</f>
        <v>0</v>
      </c>
      <c r="K34" s="320">
        <f>'Per7'!$N$76</f>
        <v>0</v>
      </c>
      <c r="L34" s="320">
        <f>'Per8'!$N$76</f>
        <v>0</v>
      </c>
      <c r="M34" s="320">
        <f>'Per9'!$N$76</f>
        <v>0</v>
      </c>
      <c r="N34" s="320">
        <f>'Per10'!$N$76</f>
        <v>0</v>
      </c>
      <c r="O34" s="321">
        <f t="shared" si="6"/>
        <v>0</v>
      </c>
    </row>
    <row r="35" spans="1:15" ht="14.1" customHeight="1" x14ac:dyDescent="0.2">
      <c r="A35" s="174"/>
      <c r="B35" s="175" t="s">
        <v>249</v>
      </c>
      <c r="C35" s="590" t="s">
        <v>250</v>
      </c>
      <c r="D35" s="591"/>
      <c r="E35" s="176">
        <f>'Per1'!$O$79</f>
        <v>0</v>
      </c>
      <c r="F35" s="176">
        <f>'Per2'!$O$79</f>
        <v>0</v>
      </c>
      <c r="G35" s="176">
        <f>'Per3'!$O$79</f>
        <v>0</v>
      </c>
      <c r="H35" s="176">
        <f>'Per4'!$O$79</f>
        <v>0</v>
      </c>
      <c r="I35" s="176">
        <f>'Per5'!$O$79</f>
        <v>0</v>
      </c>
      <c r="J35" s="176">
        <f>'Per6'!$O$79</f>
        <v>0</v>
      </c>
      <c r="K35" s="176">
        <f>'Per7'!$O$79</f>
        <v>0</v>
      </c>
      <c r="L35" s="176">
        <f>'Per8'!$O$79</f>
        <v>0</v>
      </c>
      <c r="M35" s="176">
        <f>'Per9'!$O$79</f>
        <v>0</v>
      </c>
      <c r="N35" s="176">
        <f>'Per10'!$O$79</f>
        <v>0</v>
      </c>
      <c r="O35" s="177">
        <f t="shared" si="6"/>
        <v>0</v>
      </c>
    </row>
    <row r="36" spans="1:15" ht="14.1" customHeight="1" x14ac:dyDescent="0.2">
      <c r="A36" s="181"/>
      <c r="B36" s="175" t="s">
        <v>251</v>
      </c>
      <c r="C36" s="590" t="s">
        <v>252</v>
      </c>
      <c r="D36" s="591"/>
      <c r="E36" s="176">
        <f>'Per1'!$O$81</f>
        <v>0</v>
      </c>
      <c r="F36" s="176">
        <f>'Per2'!$O$81</f>
        <v>0</v>
      </c>
      <c r="G36" s="176">
        <f>'Per3'!$O$81</f>
        <v>0</v>
      </c>
      <c r="H36" s="176">
        <f>'Per4'!$O$81</f>
        <v>0</v>
      </c>
      <c r="I36" s="176">
        <f>'Per5'!$O$81</f>
        <v>0</v>
      </c>
      <c r="J36" s="176">
        <f>'Per6'!$O$81</f>
        <v>0</v>
      </c>
      <c r="K36" s="176">
        <f>'Per7'!$O$81</f>
        <v>0</v>
      </c>
      <c r="L36" s="176">
        <f>'Per8'!$O$81</f>
        <v>0</v>
      </c>
      <c r="M36" s="176">
        <f>'Per9'!$O$81</f>
        <v>0</v>
      </c>
      <c r="N36" s="176">
        <f>'Per10'!$O$81</f>
        <v>0</v>
      </c>
      <c r="O36" s="177">
        <f t="shared" si="6"/>
        <v>0</v>
      </c>
    </row>
    <row r="37" spans="1:15" ht="14.1" customHeight="1" x14ac:dyDescent="0.2">
      <c r="A37" s="174"/>
      <c r="B37" s="175" t="s">
        <v>253</v>
      </c>
      <c r="C37" s="590" t="s">
        <v>254</v>
      </c>
      <c r="D37" s="591"/>
      <c r="E37" s="176">
        <f>'Per1'!$O$95</f>
        <v>0</v>
      </c>
      <c r="F37" s="176">
        <f>'Per2'!$O$95</f>
        <v>0</v>
      </c>
      <c r="G37" s="176">
        <f>'Per3'!$O$95</f>
        <v>0</v>
      </c>
      <c r="H37" s="176">
        <f>'Per4'!$O$95</f>
        <v>0</v>
      </c>
      <c r="I37" s="176">
        <f>'Per5'!$O$95</f>
        <v>0</v>
      </c>
      <c r="J37" s="176">
        <f>'Per6'!$O$95</f>
        <v>0</v>
      </c>
      <c r="K37" s="176">
        <f>'Per7'!$O$95</f>
        <v>0</v>
      </c>
      <c r="L37" s="176">
        <f>'Per8'!$O$95</f>
        <v>0</v>
      </c>
      <c r="M37" s="176">
        <f>'Per9'!$O$95</f>
        <v>0</v>
      </c>
      <c r="N37" s="176">
        <f>'Per10'!$O$95</f>
        <v>0</v>
      </c>
      <c r="O37" s="177">
        <f t="shared" si="6"/>
        <v>0</v>
      </c>
    </row>
    <row r="38" spans="1:15" ht="14.1" customHeight="1" x14ac:dyDescent="0.2">
      <c r="A38" s="174"/>
      <c r="B38" s="175" t="s">
        <v>255</v>
      </c>
      <c r="C38" s="590" t="s">
        <v>256</v>
      </c>
      <c r="D38" s="591"/>
      <c r="E38" s="176">
        <f>'Per1'!$O$78</f>
        <v>0</v>
      </c>
      <c r="F38" s="176">
        <f>'Per2'!$O$78</f>
        <v>0</v>
      </c>
      <c r="G38" s="176">
        <f>'Per3'!$O$78</f>
        <v>0</v>
      </c>
      <c r="H38" s="176">
        <f>'Per4'!$O$78</f>
        <v>0</v>
      </c>
      <c r="I38" s="176">
        <f>'Per5'!$O$78</f>
        <v>0</v>
      </c>
      <c r="J38" s="176">
        <f>'Per6'!$O$78</f>
        <v>0</v>
      </c>
      <c r="K38" s="176">
        <f>'Per7'!$O$78</f>
        <v>0</v>
      </c>
      <c r="L38" s="176">
        <f>'Per8'!$O$78</f>
        <v>0</v>
      </c>
      <c r="M38" s="176">
        <f>'Per9'!$O$78</f>
        <v>0</v>
      </c>
      <c r="N38" s="176">
        <f>'Per10'!$O$78</f>
        <v>0</v>
      </c>
      <c r="O38" s="177">
        <f t="shared" si="6"/>
        <v>0</v>
      </c>
    </row>
    <row r="39" spans="1:15" ht="14.1" customHeight="1" x14ac:dyDescent="0.2">
      <c r="A39" s="174"/>
      <c r="B39" s="175" t="s">
        <v>257</v>
      </c>
      <c r="C39" s="590" t="s">
        <v>258</v>
      </c>
      <c r="D39" s="591"/>
      <c r="E39" s="176">
        <f>'Per1'!$O$93</f>
        <v>0</v>
      </c>
      <c r="F39" s="176">
        <f>'Per2'!$O$93</f>
        <v>0</v>
      </c>
      <c r="G39" s="176">
        <f>'Per3'!$O$93</f>
        <v>0</v>
      </c>
      <c r="H39" s="176">
        <f>'Per4'!$O$93</f>
        <v>0</v>
      </c>
      <c r="I39" s="176">
        <f>'Per5'!$O$93</f>
        <v>0</v>
      </c>
      <c r="J39" s="176">
        <f>'Per6'!$O$93</f>
        <v>0</v>
      </c>
      <c r="K39" s="176">
        <f>'Per7'!$O$93</f>
        <v>0</v>
      </c>
      <c r="L39" s="176">
        <f>'Per8'!$O$93</f>
        <v>0</v>
      </c>
      <c r="M39" s="176">
        <f>'Per9'!$O$93</f>
        <v>0</v>
      </c>
      <c r="N39" s="176">
        <f>'Per10'!$O$93</f>
        <v>0</v>
      </c>
      <c r="O39" s="177">
        <f t="shared" si="6"/>
        <v>0</v>
      </c>
    </row>
    <row r="40" spans="1:15" ht="14.1" customHeight="1" x14ac:dyDescent="0.2">
      <c r="A40" s="587" t="s">
        <v>259</v>
      </c>
      <c r="B40" s="592"/>
      <c r="C40" s="592"/>
      <c r="D40" s="178" t="s">
        <v>217</v>
      </c>
      <c r="E40" s="179">
        <f>SUM(E41:E44)</f>
        <v>0</v>
      </c>
      <c r="F40" s="179">
        <f t="shared" ref="F40:N40" si="9">SUM(F41:F44)</f>
        <v>0</v>
      </c>
      <c r="G40" s="179">
        <f t="shared" si="9"/>
        <v>0</v>
      </c>
      <c r="H40" s="179">
        <f t="shared" si="9"/>
        <v>0</v>
      </c>
      <c r="I40" s="179">
        <f t="shared" si="9"/>
        <v>0</v>
      </c>
      <c r="J40" s="179">
        <f t="shared" si="9"/>
        <v>0</v>
      </c>
      <c r="K40" s="179">
        <f t="shared" si="9"/>
        <v>0</v>
      </c>
      <c r="L40" s="179">
        <f t="shared" si="9"/>
        <v>0</v>
      </c>
      <c r="M40" s="179">
        <f t="shared" si="9"/>
        <v>0</v>
      </c>
      <c r="N40" s="179">
        <f t="shared" si="9"/>
        <v>0</v>
      </c>
      <c r="O40" s="180">
        <f>SUM(E40:N40)</f>
        <v>0</v>
      </c>
    </row>
    <row r="41" spans="1:15" ht="14.1" customHeight="1" x14ac:dyDescent="0.2">
      <c r="A41" s="174"/>
      <c r="B41" s="175" t="s">
        <v>260</v>
      </c>
      <c r="C41" s="590" t="s">
        <v>261</v>
      </c>
      <c r="D41" s="591"/>
      <c r="E41" s="176">
        <f>'Per1'!$O$90</f>
        <v>0</v>
      </c>
      <c r="F41" s="176">
        <f>'Per2'!$O$90</f>
        <v>0</v>
      </c>
      <c r="G41" s="176">
        <f>'Per3'!$O$90</f>
        <v>0</v>
      </c>
      <c r="H41" s="176">
        <f>'Per4'!$O$90</f>
        <v>0</v>
      </c>
      <c r="I41" s="176">
        <f>'Per5'!$O$90</f>
        <v>0</v>
      </c>
      <c r="J41" s="176">
        <f>'Per6'!$O$90</f>
        <v>0</v>
      </c>
      <c r="K41" s="176">
        <f>'Per7'!$O$90</f>
        <v>0</v>
      </c>
      <c r="L41" s="176">
        <f>'Per8'!$O$90</f>
        <v>0</v>
      </c>
      <c r="M41" s="176">
        <f>'Per9'!$O$90</f>
        <v>0</v>
      </c>
      <c r="N41" s="176">
        <f>'Per10'!$O$90</f>
        <v>0</v>
      </c>
      <c r="O41" s="177">
        <f>SUM(E41:N41)</f>
        <v>0</v>
      </c>
    </row>
    <row r="42" spans="1:15" ht="14.1" customHeight="1" x14ac:dyDescent="0.2">
      <c r="A42" s="174"/>
      <c r="B42" s="175" t="s">
        <v>262</v>
      </c>
      <c r="C42" s="590" t="s">
        <v>263</v>
      </c>
      <c r="D42" s="591"/>
      <c r="E42" s="176">
        <f>'Per1'!$O$91</f>
        <v>0</v>
      </c>
      <c r="F42" s="176">
        <f>'Per2'!$O$91</f>
        <v>0</v>
      </c>
      <c r="G42" s="176">
        <f>'Per3'!$O$91</f>
        <v>0</v>
      </c>
      <c r="H42" s="176">
        <f>'Per4'!$O$91</f>
        <v>0</v>
      </c>
      <c r="I42" s="176">
        <f>'Per5'!$O$91</f>
        <v>0</v>
      </c>
      <c r="J42" s="176">
        <f>'Per6'!$O$91</f>
        <v>0</v>
      </c>
      <c r="K42" s="176">
        <f>'Per7'!$O$91</f>
        <v>0</v>
      </c>
      <c r="L42" s="176">
        <f>'Per8'!$O$91</f>
        <v>0</v>
      </c>
      <c r="M42" s="176">
        <f>'Per9'!$O$91</f>
        <v>0</v>
      </c>
      <c r="N42" s="176">
        <f>'Per10'!$O$91</f>
        <v>0</v>
      </c>
      <c r="O42" s="177">
        <f t="shared" ref="O42:O44" si="10">SUM(E42:N42)</f>
        <v>0</v>
      </c>
    </row>
    <row r="43" spans="1:15" ht="14.1" customHeight="1" x14ac:dyDescent="0.2">
      <c r="A43" s="174"/>
      <c r="B43" s="175" t="s">
        <v>264</v>
      </c>
      <c r="C43" s="590" t="s">
        <v>265</v>
      </c>
      <c r="D43" s="591"/>
      <c r="E43" s="176">
        <f>'Per1'!$O$88</f>
        <v>0</v>
      </c>
      <c r="F43" s="176">
        <f>'Per2'!$O$88</f>
        <v>0</v>
      </c>
      <c r="G43" s="176">
        <f>'Per3'!$O$88</f>
        <v>0</v>
      </c>
      <c r="H43" s="176">
        <f>'Per4'!$O$88</f>
        <v>0</v>
      </c>
      <c r="I43" s="176">
        <f>'Per5'!$O$88</f>
        <v>0</v>
      </c>
      <c r="J43" s="176">
        <f>'Per6'!$O$88</f>
        <v>0</v>
      </c>
      <c r="K43" s="176">
        <f>'Per7'!$O$88</f>
        <v>0</v>
      </c>
      <c r="L43" s="176">
        <f>'Per8'!$O$88</f>
        <v>0</v>
      </c>
      <c r="M43" s="176">
        <f>'Per9'!$O$88</f>
        <v>0</v>
      </c>
      <c r="N43" s="176">
        <f>'Per10'!$O$88</f>
        <v>0</v>
      </c>
      <c r="O43" s="177">
        <f t="shared" si="10"/>
        <v>0</v>
      </c>
    </row>
    <row r="44" spans="1:15" ht="14.1" customHeight="1" x14ac:dyDescent="0.2">
      <c r="A44" s="174"/>
      <c r="B44" s="175" t="s">
        <v>257</v>
      </c>
      <c r="C44" s="590" t="s">
        <v>266</v>
      </c>
      <c r="D44" s="591"/>
      <c r="E44" s="176">
        <f>'Per1'!$O$89</f>
        <v>0</v>
      </c>
      <c r="F44" s="176">
        <f>'Per2'!$O$89</f>
        <v>0</v>
      </c>
      <c r="G44" s="176">
        <f>'Per3'!$O$89</f>
        <v>0</v>
      </c>
      <c r="H44" s="176">
        <f>'Per4'!$O$89</f>
        <v>0</v>
      </c>
      <c r="I44" s="176">
        <f>'Per5'!$O$89</f>
        <v>0</v>
      </c>
      <c r="J44" s="176">
        <f>'Per6'!$O$89</f>
        <v>0</v>
      </c>
      <c r="K44" s="176">
        <f>'Per7'!$O$89</f>
        <v>0</v>
      </c>
      <c r="L44" s="176">
        <f>'Per8'!$O$89</f>
        <v>0</v>
      </c>
      <c r="M44" s="176">
        <f>'Per9'!$O$89</f>
        <v>0</v>
      </c>
      <c r="N44" s="176">
        <f>'Per10'!$O$89</f>
        <v>0</v>
      </c>
      <c r="O44" s="177">
        <f t="shared" si="10"/>
        <v>0</v>
      </c>
    </row>
    <row r="45" spans="1:15" ht="14.1" customHeight="1" x14ac:dyDescent="0.2">
      <c r="A45" s="587" t="s">
        <v>150</v>
      </c>
      <c r="B45" s="592"/>
      <c r="C45" s="592"/>
      <c r="D45" s="178" t="s">
        <v>217</v>
      </c>
      <c r="E45" s="184">
        <f>'Per1'!$J$121</f>
        <v>0</v>
      </c>
      <c r="F45" s="184">
        <f>'Per2'!$J$121</f>
        <v>0</v>
      </c>
      <c r="G45" s="184">
        <f>'Per3'!$J$121</f>
        <v>0</v>
      </c>
      <c r="H45" s="184">
        <f>'Per4'!$J$121</f>
        <v>0</v>
      </c>
      <c r="I45" s="184">
        <f>'Per5'!$J$121</f>
        <v>0</v>
      </c>
      <c r="J45" s="184">
        <f>'Per6'!$J$121</f>
        <v>0</v>
      </c>
      <c r="K45" s="184">
        <f>'Per7'!$J$121</f>
        <v>0</v>
      </c>
      <c r="L45" s="184">
        <f>'Per8'!$J$121</f>
        <v>0</v>
      </c>
      <c r="M45" s="184">
        <f>'Per9'!$J$121</f>
        <v>0</v>
      </c>
      <c r="N45" s="184">
        <f>'Per10'!$J$121</f>
        <v>0</v>
      </c>
      <c r="O45" s="180">
        <f>SUM(E45:N45)</f>
        <v>0</v>
      </c>
    </row>
    <row r="46" spans="1:15" ht="14.1" customHeight="1" x14ac:dyDescent="0.2">
      <c r="A46" s="185"/>
      <c r="B46" s="186"/>
      <c r="C46" s="581">
        <f>'Per1'!C101</f>
        <v>0</v>
      </c>
      <c r="D46" s="582"/>
      <c r="E46" s="187">
        <f>'Per1'!$J$101</f>
        <v>0</v>
      </c>
      <c r="F46" s="187">
        <f>'Per2'!$J$101</f>
        <v>0</v>
      </c>
      <c r="G46" s="187">
        <f>'Per3'!$J$101</f>
        <v>0</v>
      </c>
      <c r="H46" s="187">
        <f>'Per4'!$J$101</f>
        <v>0</v>
      </c>
      <c r="I46" s="187">
        <f>'Per5'!$J$101</f>
        <v>0</v>
      </c>
      <c r="J46" s="187">
        <f>'Per6'!$J$101</f>
        <v>0</v>
      </c>
      <c r="K46" s="187">
        <f>'Per7'!$J$101</f>
        <v>0</v>
      </c>
      <c r="L46" s="187">
        <f>'Per8'!$J$101</f>
        <v>0</v>
      </c>
      <c r="M46" s="187">
        <f>'Per9'!$J$101</f>
        <v>0</v>
      </c>
      <c r="N46" s="187">
        <f>'Per10'!$J$101</f>
        <v>0</v>
      </c>
      <c r="O46" s="188">
        <f>SUM(E46:N46)</f>
        <v>0</v>
      </c>
    </row>
    <row r="47" spans="1:15" ht="14.1" customHeight="1" x14ac:dyDescent="0.2">
      <c r="A47" s="185"/>
      <c r="B47" s="186"/>
      <c r="C47" s="581">
        <f>'Per1'!C102</f>
        <v>0</v>
      </c>
      <c r="D47" s="582"/>
      <c r="E47" s="187">
        <f>'Per1'!$J$102</f>
        <v>0</v>
      </c>
      <c r="F47" s="187">
        <f>'Per2'!$J$102</f>
        <v>0</v>
      </c>
      <c r="G47" s="187">
        <f>'Per3'!$J$102</f>
        <v>0</v>
      </c>
      <c r="H47" s="187">
        <f>'Per4'!$J$102</f>
        <v>0</v>
      </c>
      <c r="I47" s="187">
        <f>'Per5'!$J$102</f>
        <v>0</v>
      </c>
      <c r="J47" s="187">
        <f>'Per6'!$J$102</f>
        <v>0</v>
      </c>
      <c r="K47" s="187">
        <f>'Per7'!$J$102</f>
        <v>0</v>
      </c>
      <c r="L47" s="187">
        <f>'Per8'!$J$102</f>
        <v>0</v>
      </c>
      <c r="M47" s="187">
        <f>'Per9'!$J$102</f>
        <v>0</v>
      </c>
      <c r="N47" s="187">
        <f>'Per10'!$J$102</f>
        <v>0</v>
      </c>
      <c r="O47" s="188">
        <f t="shared" ref="O47:O65" si="11">SUM(E47:N47)</f>
        <v>0</v>
      </c>
    </row>
    <row r="48" spans="1:15" ht="14.1" customHeight="1" x14ac:dyDescent="0.2">
      <c r="A48" s="185"/>
      <c r="B48" s="186"/>
      <c r="C48" s="581">
        <f>'Per1'!C103</f>
        <v>0</v>
      </c>
      <c r="D48" s="582"/>
      <c r="E48" s="187">
        <f>'Per1'!$J$103</f>
        <v>0</v>
      </c>
      <c r="F48" s="187">
        <f>'Per2'!$J$103</f>
        <v>0</v>
      </c>
      <c r="G48" s="187">
        <f>'Per3'!$J$103</f>
        <v>0</v>
      </c>
      <c r="H48" s="187">
        <f>'Per4'!$J$103</f>
        <v>0</v>
      </c>
      <c r="I48" s="187">
        <f>'Per5'!$J$103</f>
        <v>0</v>
      </c>
      <c r="J48" s="187">
        <f>'Per6'!$J$103</f>
        <v>0</v>
      </c>
      <c r="K48" s="187">
        <f>'Per7'!$J$103</f>
        <v>0</v>
      </c>
      <c r="L48" s="187">
        <f>'Per8'!$J$103</f>
        <v>0</v>
      </c>
      <c r="M48" s="187">
        <f>'Per9'!$J$103</f>
        <v>0</v>
      </c>
      <c r="N48" s="187">
        <f>'Per10'!$J$103</f>
        <v>0</v>
      </c>
      <c r="O48" s="188">
        <f t="shared" si="11"/>
        <v>0</v>
      </c>
    </row>
    <row r="49" spans="1:18" ht="14.1" customHeight="1" x14ac:dyDescent="0.2">
      <c r="A49" s="185"/>
      <c r="B49" s="186"/>
      <c r="C49" s="581">
        <f>'Per1'!C104</f>
        <v>0</v>
      </c>
      <c r="D49" s="582"/>
      <c r="E49" s="187">
        <f>'Per1'!$J$104</f>
        <v>0</v>
      </c>
      <c r="F49" s="187">
        <f>'Per2'!$J$104</f>
        <v>0</v>
      </c>
      <c r="G49" s="187">
        <f>'Per3'!$J$104</f>
        <v>0</v>
      </c>
      <c r="H49" s="187">
        <f>'Per4'!$J$104</f>
        <v>0</v>
      </c>
      <c r="I49" s="187">
        <f>'Per5'!$J$104</f>
        <v>0</v>
      </c>
      <c r="J49" s="187">
        <f>'Per6'!$J$104</f>
        <v>0</v>
      </c>
      <c r="K49" s="187">
        <f>'Per7'!$J$104</f>
        <v>0</v>
      </c>
      <c r="L49" s="187">
        <f>'Per8'!$J$104</f>
        <v>0</v>
      </c>
      <c r="M49" s="187">
        <f>'Per9'!$J$104</f>
        <v>0</v>
      </c>
      <c r="N49" s="187">
        <f>'Per10'!$J$104</f>
        <v>0</v>
      </c>
      <c r="O49" s="188">
        <f t="shared" si="11"/>
        <v>0</v>
      </c>
    </row>
    <row r="50" spans="1:18" ht="14.1" customHeight="1" x14ac:dyDescent="0.2">
      <c r="A50" s="185"/>
      <c r="B50" s="186"/>
      <c r="C50" s="581">
        <f>'Per1'!C105</f>
        <v>0</v>
      </c>
      <c r="D50" s="582"/>
      <c r="E50" s="187">
        <f>'Per1'!$J105</f>
        <v>0</v>
      </c>
      <c r="F50" s="187">
        <f>'Per2'!$J$105</f>
        <v>0</v>
      </c>
      <c r="G50" s="187">
        <f>'Per3'!$J$105</f>
        <v>0</v>
      </c>
      <c r="H50" s="187">
        <f>'Per4'!$J$105</f>
        <v>0</v>
      </c>
      <c r="I50" s="187">
        <f>'Per5'!$J$105</f>
        <v>0</v>
      </c>
      <c r="J50" s="187">
        <f>'Per6'!$J$105</f>
        <v>0</v>
      </c>
      <c r="K50" s="187">
        <f>'Per7'!$J$105</f>
        <v>0</v>
      </c>
      <c r="L50" s="187">
        <f>'Per8'!$J$105</f>
        <v>0</v>
      </c>
      <c r="M50" s="187">
        <f>'Per9'!$J$105</f>
        <v>0</v>
      </c>
      <c r="N50" s="187">
        <f>'Per10'!$J$105</f>
        <v>0</v>
      </c>
      <c r="O50" s="188">
        <f t="shared" si="11"/>
        <v>0</v>
      </c>
      <c r="R50" s="159" t="s">
        <v>267</v>
      </c>
    </row>
    <row r="51" spans="1:18" ht="14.1" hidden="1" customHeight="1" x14ac:dyDescent="0.2">
      <c r="A51" s="185"/>
      <c r="B51" s="186"/>
      <c r="C51" s="581">
        <f>'Per1'!C106</f>
        <v>0</v>
      </c>
      <c r="D51" s="582"/>
      <c r="E51" s="187">
        <f>'Per1'!$J106</f>
        <v>0</v>
      </c>
      <c r="F51" s="187">
        <f>'Per2'!$J106</f>
        <v>0</v>
      </c>
      <c r="G51" s="187">
        <f>'Per3'!$J106</f>
        <v>0</v>
      </c>
      <c r="H51" s="187">
        <f>'Per4'!$J106</f>
        <v>0</v>
      </c>
      <c r="I51" s="187">
        <f>'Per5'!$J106</f>
        <v>0</v>
      </c>
      <c r="J51" s="187">
        <f>'Per6'!$J106</f>
        <v>0</v>
      </c>
      <c r="K51" s="187">
        <f>'Per7'!$J106</f>
        <v>0</v>
      </c>
      <c r="L51" s="187">
        <f>'Per8'!$J106</f>
        <v>0</v>
      </c>
      <c r="M51" s="187">
        <f>'Per9'!$J106</f>
        <v>0</v>
      </c>
      <c r="N51" s="187">
        <f>'Per10'!$J106</f>
        <v>0</v>
      </c>
      <c r="O51" s="188">
        <f t="shared" si="11"/>
        <v>0</v>
      </c>
    </row>
    <row r="52" spans="1:18" ht="14.1" hidden="1" customHeight="1" x14ac:dyDescent="0.2">
      <c r="A52" s="185"/>
      <c r="B52" s="186"/>
      <c r="C52" s="581">
        <f>'Per1'!C107</f>
        <v>0</v>
      </c>
      <c r="D52" s="582"/>
      <c r="E52" s="187">
        <f>'Per1'!$J107</f>
        <v>0</v>
      </c>
      <c r="F52" s="187">
        <f>'Per2'!$J107</f>
        <v>0</v>
      </c>
      <c r="G52" s="187">
        <f>'Per3'!$J107</f>
        <v>0</v>
      </c>
      <c r="H52" s="187">
        <f>'Per4'!$J107</f>
        <v>0</v>
      </c>
      <c r="I52" s="187">
        <f>'Per5'!$J107</f>
        <v>0</v>
      </c>
      <c r="J52" s="187">
        <f>'Per6'!$J107</f>
        <v>0</v>
      </c>
      <c r="K52" s="187">
        <f>'Per7'!$J107</f>
        <v>0</v>
      </c>
      <c r="L52" s="187">
        <f>'Per8'!$J107</f>
        <v>0</v>
      </c>
      <c r="M52" s="187">
        <f>'Per9'!$J107</f>
        <v>0</v>
      </c>
      <c r="N52" s="187">
        <f>'Per10'!$J107</f>
        <v>0</v>
      </c>
      <c r="O52" s="188">
        <f t="shared" si="11"/>
        <v>0</v>
      </c>
    </row>
    <row r="53" spans="1:18" ht="14.1" hidden="1" customHeight="1" x14ac:dyDescent="0.2">
      <c r="A53" s="185"/>
      <c r="B53" s="186"/>
      <c r="C53" s="581">
        <f>'Per1'!C108</f>
        <v>0</v>
      </c>
      <c r="D53" s="582"/>
      <c r="E53" s="187">
        <f>'Per1'!$J108</f>
        <v>0</v>
      </c>
      <c r="F53" s="187">
        <f>'Per2'!$J108</f>
        <v>0</v>
      </c>
      <c r="G53" s="187">
        <f>'Per3'!$J108</f>
        <v>0</v>
      </c>
      <c r="H53" s="187">
        <f>'Per4'!$J108</f>
        <v>0</v>
      </c>
      <c r="I53" s="187">
        <f>'Per5'!$J108</f>
        <v>0</v>
      </c>
      <c r="J53" s="187">
        <f>'Per6'!$J108</f>
        <v>0</v>
      </c>
      <c r="K53" s="187">
        <f>'Per7'!$J108</f>
        <v>0</v>
      </c>
      <c r="L53" s="187">
        <f>'Per8'!$J108</f>
        <v>0</v>
      </c>
      <c r="M53" s="187">
        <f>'Per9'!$J108</f>
        <v>0</v>
      </c>
      <c r="N53" s="187">
        <f>'Per10'!$J108</f>
        <v>0</v>
      </c>
      <c r="O53" s="188">
        <f t="shared" si="11"/>
        <v>0</v>
      </c>
    </row>
    <row r="54" spans="1:18" ht="14.1" hidden="1" customHeight="1" x14ac:dyDescent="0.2">
      <c r="A54" s="185"/>
      <c r="B54" s="186"/>
      <c r="C54" s="581">
        <f>'Per1'!C109</f>
        <v>0</v>
      </c>
      <c r="D54" s="582"/>
      <c r="E54" s="187">
        <f>'Per1'!$J109</f>
        <v>0</v>
      </c>
      <c r="F54" s="187">
        <f>'Per2'!$J109</f>
        <v>0</v>
      </c>
      <c r="G54" s="187">
        <f>'Per3'!$J109</f>
        <v>0</v>
      </c>
      <c r="H54" s="187">
        <f>'Per4'!$J109</f>
        <v>0</v>
      </c>
      <c r="I54" s="187">
        <f>'Per5'!$J109</f>
        <v>0</v>
      </c>
      <c r="J54" s="187">
        <f>'Per6'!$J109</f>
        <v>0</v>
      </c>
      <c r="K54" s="187">
        <f>'Per7'!$J109</f>
        <v>0</v>
      </c>
      <c r="L54" s="187">
        <f>'Per8'!$J109</f>
        <v>0</v>
      </c>
      <c r="M54" s="187">
        <f>'Per9'!$J109</f>
        <v>0</v>
      </c>
      <c r="N54" s="187">
        <f>'Per10'!$J109</f>
        <v>0</v>
      </c>
      <c r="O54" s="188">
        <f t="shared" si="11"/>
        <v>0</v>
      </c>
    </row>
    <row r="55" spans="1:18" ht="14.1" hidden="1" customHeight="1" x14ac:dyDescent="0.2">
      <c r="A55" s="185"/>
      <c r="B55" s="186"/>
      <c r="C55" s="581">
        <f>'Per1'!C110</f>
        <v>0</v>
      </c>
      <c r="D55" s="582"/>
      <c r="E55" s="187">
        <f>'Per1'!$J110</f>
        <v>0</v>
      </c>
      <c r="F55" s="187">
        <f>'Per2'!$J110</f>
        <v>0</v>
      </c>
      <c r="G55" s="187">
        <f>'Per3'!$J110</f>
        <v>0</v>
      </c>
      <c r="H55" s="187">
        <f>'Per4'!$J110</f>
        <v>0</v>
      </c>
      <c r="I55" s="187">
        <f>'Per5'!$J110</f>
        <v>0</v>
      </c>
      <c r="J55" s="187">
        <f>'Per6'!$J110</f>
        <v>0</v>
      </c>
      <c r="K55" s="187">
        <f>'Per7'!$J110</f>
        <v>0</v>
      </c>
      <c r="L55" s="187">
        <f>'Per8'!$J110</f>
        <v>0</v>
      </c>
      <c r="M55" s="187">
        <f>'Per9'!$J110</f>
        <v>0</v>
      </c>
      <c r="N55" s="187">
        <f>'Per10'!$J110</f>
        <v>0</v>
      </c>
      <c r="O55" s="188">
        <f t="shared" si="11"/>
        <v>0</v>
      </c>
    </row>
    <row r="56" spans="1:18" ht="14.1" hidden="1" customHeight="1" x14ac:dyDescent="0.2">
      <c r="A56" s="185"/>
      <c r="B56" s="186"/>
      <c r="C56" s="581">
        <f>'Per1'!C111</f>
        <v>0</v>
      </c>
      <c r="D56" s="582"/>
      <c r="E56" s="187">
        <f>'Per1'!$J111</f>
        <v>0</v>
      </c>
      <c r="F56" s="187">
        <f>'Per2'!$J111</f>
        <v>0</v>
      </c>
      <c r="G56" s="187">
        <f>'Per3'!$J111</f>
        <v>0</v>
      </c>
      <c r="H56" s="187">
        <f>'Per4'!$J111</f>
        <v>0</v>
      </c>
      <c r="I56" s="187">
        <f>'Per5'!$J111</f>
        <v>0</v>
      </c>
      <c r="J56" s="187">
        <f>'Per6'!$J111</f>
        <v>0</v>
      </c>
      <c r="K56" s="187">
        <f>'Per7'!$J111</f>
        <v>0</v>
      </c>
      <c r="L56" s="187">
        <f>'Per8'!$J111</f>
        <v>0</v>
      </c>
      <c r="M56" s="187">
        <f>'Per9'!$J111</f>
        <v>0</v>
      </c>
      <c r="N56" s="187">
        <f>'Per10'!$J111</f>
        <v>0</v>
      </c>
      <c r="O56" s="188">
        <f t="shared" si="11"/>
        <v>0</v>
      </c>
    </row>
    <row r="57" spans="1:18" ht="14.1" hidden="1" customHeight="1" x14ac:dyDescent="0.2">
      <c r="A57" s="185"/>
      <c r="B57" s="186"/>
      <c r="C57" s="581">
        <f>'Per1'!C112</f>
        <v>0</v>
      </c>
      <c r="D57" s="582"/>
      <c r="E57" s="187">
        <f>'Per1'!$J112</f>
        <v>0</v>
      </c>
      <c r="F57" s="187">
        <f>'Per2'!$J112</f>
        <v>0</v>
      </c>
      <c r="G57" s="187">
        <f>'Per3'!$J112</f>
        <v>0</v>
      </c>
      <c r="H57" s="187">
        <f>'Per4'!$J112</f>
        <v>0</v>
      </c>
      <c r="I57" s="187">
        <f>'Per5'!$J112</f>
        <v>0</v>
      </c>
      <c r="J57" s="187">
        <f>'Per6'!$J112</f>
        <v>0</v>
      </c>
      <c r="K57" s="187">
        <f>'Per7'!$J112</f>
        <v>0</v>
      </c>
      <c r="L57" s="187">
        <f>'Per8'!$J112</f>
        <v>0</v>
      </c>
      <c r="M57" s="187">
        <f>'Per9'!$J112</f>
        <v>0</v>
      </c>
      <c r="N57" s="187">
        <f>'Per10'!$J112</f>
        <v>0</v>
      </c>
      <c r="O57" s="188">
        <f t="shared" si="11"/>
        <v>0</v>
      </c>
    </row>
    <row r="58" spans="1:18" ht="14.1" hidden="1" customHeight="1" x14ac:dyDescent="0.2">
      <c r="A58" s="185"/>
      <c r="B58" s="186"/>
      <c r="C58" s="581">
        <f>'Per1'!C113</f>
        <v>0</v>
      </c>
      <c r="D58" s="582"/>
      <c r="E58" s="187">
        <f>'Per1'!$J113</f>
        <v>0</v>
      </c>
      <c r="F58" s="187">
        <f>'Per2'!$J113</f>
        <v>0</v>
      </c>
      <c r="G58" s="187">
        <f>'Per3'!$J113</f>
        <v>0</v>
      </c>
      <c r="H58" s="187">
        <f>'Per4'!$J113</f>
        <v>0</v>
      </c>
      <c r="I58" s="187">
        <f>'Per5'!$J113</f>
        <v>0</v>
      </c>
      <c r="J58" s="187">
        <f>'Per6'!$J113</f>
        <v>0</v>
      </c>
      <c r="K58" s="187">
        <f>'Per7'!$J113</f>
        <v>0</v>
      </c>
      <c r="L58" s="187">
        <f>'Per8'!$J113</f>
        <v>0</v>
      </c>
      <c r="M58" s="187">
        <f>'Per9'!$J113</f>
        <v>0</v>
      </c>
      <c r="N58" s="187">
        <f>'Per10'!$J113</f>
        <v>0</v>
      </c>
      <c r="O58" s="188">
        <f t="shared" si="11"/>
        <v>0</v>
      </c>
    </row>
    <row r="59" spans="1:18" ht="14.1" hidden="1" customHeight="1" x14ac:dyDescent="0.2">
      <c r="A59" s="185"/>
      <c r="B59" s="186"/>
      <c r="C59" s="581">
        <f>'Per1'!C114</f>
        <v>0</v>
      </c>
      <c r="D59" s="582"/>
      <c r="E59" s="187">
        <f>'Per1'!$J114</f>
        <v>0</v>
      </c>
      <c r="F59" s="187">
        <f>'Per2'!$J114</f>
        <v>0</v>
      </c>
      <c r="G59" s="187">
        <f>'Per3'!$J114</f>
        <v>0</v>
      </c>
      <c r="H59" s="187">
        <f>'Per4'!$J114</f>
        <v>0</v>
      </c>
      <c r="I59" s="187">
        <f>'Per5'!$J114</f>
        <v>0</v>
      </c>
      <c r="J59" s="187">
        <f>'Per6'!$J114</f>
        <v>0</v>
      </c>
      <c r="K59" s="187">
        <f>'Per7'!$J114</f>
        <v>0</v>
      </c>
      <c r="L59" s="187">
        <f>'Per8'!$J114</f>
        <v>0</v>
      </c>
      <c r="M59" s="187">
        <f>'Per9'!$J114</f>
        <v>0</v>
      </c>
      <c r="N59" s="187">
        <f>'Per10'!$J114</f>
        <v>0</v>
      </c>
      <c r="O59" s="188">
        <f t="shared" si="11"/>
        <v>0</v>
      </c>
    </row>
    <row r="60" spans="1:18" ht="14.1" hidden="1" customHeight="1" x14ac:dyDescent="0.2">
      <c r="A60" s="185"/>
      <c r="B60" s="186"/>
      <c r="C60" s="581">
        <f>'Per1'!C115</f>
        <v>0</v>
      </c>
      <c r="D60" s="582"/>
      <c r="E60" s="187">
        <f>'Per1'!$J115</f>
        <v>0</v>
      </c>
      <c r="F60" s="187">
        <f>'Per2'!$J115</f>
        <v>0</v>
      </c>
      <c r="G60" s="187">
        <f>'Per3'!$J115</f>
        <v>0</v>
      </c>
      <c r="H60" s="187">
        <f>'Per4'!$J115</f>
        <v>0</v>
      </c>
      <c r="I60" s="187">
        <f>'Per5'!$J115</f>
        <v>0</v>
      </c>
      <c r="J60" s="187">
        <f>'Per6'!$J115</f>
        <v>0</v>
      </c>
      <c r="K60" s="187">
        <f>'Per7'!$J115</f>
        <v>0</v>
      </c>
      <c r="L60" s="187">
        <f>'Per8'!$J115</f>
        <v>0</v>
      </c>
      <c r="M60" s="187">
        <f>'Per9'!$J115</f>
        <v>0</v>
      </c>
      <c r="N60" s="187">
        <f>'Per10'!$J115</f>
        <v>0</v>
      </c>
      <c r="O60" s="188">
        <f t="shared" si="11"/>
        <v>0</v>
      </c>
    </row>
    <row r="61" spans="1:18" ht="14.1" hidden="1" customHeight="1" x14ac:dyDescent="0.2">
      <c r="A61" s="185"/>
      <c r="B61" s="186"/>
      <c r="C61" s="581">
        <f>'Per1'!C116</f>
        <v>0</v>
      </c>
      <c r="D61" s="582"/>
      <c r="E61" s="187">
        <f>'Per1'!$J116</f>
        <v>0</v>
      </c>
      <c r="F61" s="187">
        <f>'Per2'!$J116</f>
        <v>0</v>
      </c>
      <c r="G61" s="187">
        <f>'Per3'!$J116</f>
        <v>0</v>
      </c>
      <c r="H61" s="187">
        <f>'Per4'!$J116</f>
        <v>0</v>
      </c>
      <c r="I61" s="187">
        <f>'Per5'!$J116</f>
        <v>0</v>
      </c>
      <c r="J61" s="187">
        <f>'Per6'!$J116</f>
        <v>0</v>
      </c>
      <c r="K61" s="187">
        <f>'Per7'!$J116</f>
        <v>0</v>
      </c>
      <c r="L61" s="187">
        <f>'Per8'!$J116</f>
        <v>0</v>
      </c>
      <c r="M61" s="187">
        <f>'Per9'!$J116</f>
        <v>0</v>
      </c>
      <c r="N61" s="187">
        <f>'Per10'!$J116</f>
        <v>0</v>
      </c>
      <c r="O61" s="188">
        <f t="shared" si="11"/>
        <v>0</v>
      </c>
    </row>
    <row r="62" spans="1:18" ht="14.1" hidden="1" customHeight="1" x14ac:dyDescent="0.2">
      <c r="A62" s="185"/>
      <c r="B62" s="186"/>
      <c r="C62" s="581">
        <f>'Per1'!C117</f>
        <v>0</v>
      </c>
      <c r="D62" s="582"/>
      <c r="E62" s="187">
        <f>'Per1'!$J117</f>
        <v>0</v>
      </c>
      <c r="F62" s="187">
        <f>'Per2'!$J117</f>
        <v>0</v>
      </c>
      <c r="G62" s="187">
        <f>'Per3'!$J117</f>
        <v>0</v>
      </c>
      <c r="H62" s="187">
        <f>'Per4'!$J117</f>
        <v>0</v>
      </c>
      <c r="I62" s="187">
        <f>'Per5'!$J117</f>
        <v>0</v>
      </c>
      <c r="J62" s="187">
        <f>'Per6'!$J117</f>
        <v>0</v>
      </c>
      <c r="K62" s="187">
        <f>'Per7'!$J117</f>
        <v>0</v>
      </c>
      <c r="L62" s="187">
        <f>'Per8'!$J117</f>
        <v>0</v>
      </c>
      <c r="M62" s="187">
        <f>'Per9'!$J117</f>
        <v>0</v>
      </c>
      <c r="N62" s="187">
        <f>'Per10'!$J117</f>
        <v>0</v>
      </c>
      <c r="O62" s="188">
        <f t="shared" si="11"/>
        <v>0</v>
      </c>
    </row>
    <row r="63" spans="1:18" ht="14.1" hidden="1" customHeight="1" x14ac:dyDescent="0.2">
      <c r="A63" s="185"/>
      <c r="B63" s="186"/>
      <c r="C63" s="581">
        <f>'Per1'!C118</f>
        <v>0</v>
      </c>
      <c r="D63" s="582"/>
      <c r="E63" s="187">
        <f>'Per1'!$J118</f>
        <v>0</v>
      </c>
      <c r="F63" s="187">
        <f>'Per2'!$J118</f>
        <v>0</v>
      </c>
      <c r="G63" s="187">
        <f>'Per3'!$J118</f>
        <v>0</v>
      </c>
      <c r="H63" s="187">
        <f>'Per4'!$J118</f>
        <v>0</v>
      </c>
      <c r="I63" s="187">
        <f>'Per5'!$J118</f>
        <v>0</v>
      </c>
      <c r="J63" s="187">
        <f>'Per6'!$J118</f>
        <v>0</v>
      </c>
      <c r="K63" s="187">
        <f>'Per7'!$J118</f>
        <v>0</v>
      </c>
      <c r="L63" s="187">
        <f>'Per8'!$J118</f>
        <v>0</v>
      </c>
      <c r="M63" s="187">
        <f>'Per9'!$J118</f>
        <v>0</v>
      </c>
      <c r="N63" s="187">
        <f>'Per10'!$J118</f>
        <v>0</v>
      </c>
      <c r="O63" s="188">
        <f t="shared" si="11"/>
        <v>0</v>
      </c>
    </row>
    <row r="64" spans="1:18" ht="14.1" hidden="1" customHeight="1" x14ac:dyDescent="0.2">
      <c r="A64" s="185"/>
      <c r="B64" s="186"/>
      <c r="C64" s="581">
        <f>'Per1'!C119</f>
        <v>0</v>
      </c>
      <c r="D64" s="582"/>
      <c r="E64" s="187">
        <f>'Per1'!$J119</f>
        <v>0</v>
      </c>
      <c r="F64" s="187">
        <f>'Per2'!$J119</f>
        <v>0</v>
      </c>
      <c r="G64" s="187">
        <f>'Per3'!$J119</f>
        <v>0</v>
      </c>
      <c r="H64" s="187">
        <f>'Per4'!$J119</f>
        <v>0</v>
      </c>
      <c r="I64" s="187">
        <f>'Per5'!$J119</f>
        <v>0</v>
      </c>
      <c r="J64" s="187">
        <f>'Per6'!$J119</f>
        <v>0</v>
      </c>
      <c r="K64" s="187">
        <f>'Per7'!$J119</f>
        <v>0</v>
      </c>
      <c r="L64" s="187">
        <f>'Per8'!$J119</f>
        <v>0</v>
      </c>
      <c r="M64" s="187">
        <f>'Per9'!$J119</f>
        <v>0</v>
      </c>
      <c r="N64" s="187">
        <f>'Per10'!$J119</f>
        <v>0</v>
      </c>
      <c r="O64" s="188">
        <f t="shared" si="11"/>
        <v>0</v>
      </c>
    </row>
    <row r="65" spans="1:15" ht="14.1" hidden="1" customHeight="1" x14ac:dyDescent="0.2">
      <c r="A65" s="185"/>
      <c r="B65" s="186"/>
      <c r="C65" s="581">
        <f>'Per1'!C120</f>
        <v>0</v>
      </c>
      <c r="D65" s="582"/>
      <c r="E65" s="187">
        <f>'Per1'!$J120</f>
        <v>0</v>
      </c>
      <c r="F65" s="187">
        <f>'Per2'!$J120</f>
        <v>0</v>
      </c>
      <c r="G65" s="187">
        <f>'Per3'!$J120</f>
        <v>0</v>
      </c>
      <c r="H65" s="187">
        <f>'Per4'!$J120</f>
        <v>0</v>
      </c>
      <c r="I65" s="187">
        <f>'Per5'!$J120</f>
        <v>0</v>
      </c>
      <c r="J65" s="187">
        <f>'Per6'!$J120</f>
        <v>0</v>
      </c>
      <c r="K65" s="187">
        <f>'Per7'!$J120</f>
        <v>0</v>
      </c>
      <c r="L65" s="187">
        <f>'Per8'!$J120</f>
        <v>0</v>
      </c>
      <c r="M65" s="187">
        <f>'Per9'!$J120</f>
        <v>0</v>
      </c>
      <c r="N65" s="187">
        <f>'Per10'!$J120</f>
        <v>0</v>
      </c>
      <c r="O65" s="188">
        <f t="shared" si="11"/>
        <v>0</v>
      </c>
    </row>
    <row r="66" spans="1:15" ht="28.15" customHeight="1" x14ac:dyDescent="0.2">
      <c r="A66" s="588" t="s">
        <v>195</v>
      </c>
      <c r="B66" s="589"/>
      <c r="C66" s="589"/>
      <c r="D66" s="189"/>
      <c r="E66" s="190">
        <f>SUM(E67:E68)</f>
        <v>0</v>
      </c>
      <c r="F66" s="190">
        <f t="shared" ref="F66:N66" si="12">SUM(F67:F68)</f>
        <v>0</v>
      </c>
      <c r="G66" s="190">
        <f t="shared" si="12"/>
        <v>0</v>
      </c>
      <c r="H66" s="190">
        <f t="shared" si="12"/>
        <v>0</v>
      </c>
      <c r="I66" s="190">
        <f t="shared" si="12"/>
        <v>0</v>
      </c>
      <c r="J66" s="190">
        <f t="shared" si="12"/>
        <v>0</v>
      </c>
      <c r="K66" s="190">
        <f t="shared" si="12"/>
        <v>0</v>
      </c>
      <c r="L66" s="190">
        <f t="shared" si="12"/>
        <v>0</v>
      </c>
      <c r="M66" s="190">
        <f t="shared" si="12"/>
        <v>0</v>
      </c>
      <c r="N66" s="190">
        <f t="shared" si="12"/>
        <v>0</v>
      </c>
      <c r="O66" s="191">
        <f>SUM(E66:N66)</f>
        <v>0</v>
      </c>
    </row>
    <row r="67" spans="1:15" ht="14.1" customHeight="1" x14ac:dyDescent="0.2">
      <c r="A67" s="174"/>
      <c r="B67" s="175"/>
      <c r="C67" s="192" t="s">
        <v>192</v>
      </c>
      <c r="D67" s="193"/>
      <c r="E67" s="194">
        <f>'Per1'!$O$155</f>
        <v>0</v>
      </c>
      <c r="F67" s="194">
        <f>'Per2'!$O$155</f>
        <v>0</v>
      </c>
      <c r="G67" s="194">
        <f>'Per3'!$O$155</f>
        <v>0</v>
      </c>
      <c r="H67" s="194">
        <f>'Per4'!$O$155</f>
        <v>0</v>
      </c>
      <c r="I67" s="194">
        <f>'Per5'!$O$155</f>
        <v>0</v>
      </c>
      <c r="J67" s="194">
        <f>'Per6'!$O$155</f>
        <v>0</v>
      </c>
      <c r="K67" s="194">
        <f>'Per7'!$O$155</f>
        <v>0</v>
      </c>
      <c r="L67" s="194">
        <f>'Per8'!$O$155</f>
        <v>0</v>
      </c>
      <c r="M67" s="194">
        <f>'Per9'!$O$155</f>
        <v>0</v>
      </c>
      <c r="N67" s="194">
        <f>'Per10'!$O$155</f>
        <v>0</v>
      </c>
      <c r="O67" s="177">
        <f>SUM(E67:N67)</f>
        <v>0</v>
      </c>
    </row>
    <row r="68" spans="1:15" ht="14.1" customHeight="1" x14ac:dyDescent="0.2">
      <c r="A68" s="195"/>
      <c r="B68" s="192" t="s">
        <v>268</v>
      </c>
      <c r="C68" s="192" t="s">
        <v>269</v>
      </c>
      <c r="D68" s="193"/>
      <c r="E68" s="194">
        <f>'Per1'!$O$156</f>
        <v>0</v>
      </c>
      <c r="F68" s="194">
        <f>'Per2'!$O$156</f>
        <v>0</v>
      </c>
      <c r="G68" s="194">
        <f>'Per3'!$O$156</f>
        <v>0</v>
      </c>
      <c r="H68" s="194">
        <f>'Per4'!$O$156</f>
        <v>0</v>
      </c>
      <c r="I68" s="194">
        <f>'Per5'!$O$156</f>
        <v>0</v>
      </c>
      <c r="J68" s="194">
        <f>'Per6'!$O$156</f>
        <v>0</v>
      </c>
      <c r="K68" s="194">
        <f>'Per7'!$O$156</f>
        <v>0</v>
      </c>
      <c r="L68" s="194">
        <f>'Per8'!$O$156</f>
        <v>0</v>
      </c>
      <c r="M68" s="194">
        <f>'Per9'!$O$156</f>
        <v>0</v>
      </c>
      <c r="N68" s="194">
        <f>'Per10'!$O$156</f>
        <v>0</v>
      </c>
      <c r="O68" s="177">
        <f t="shared" ref="O68:O69" si="13">SUM(E68:N68)</f>
        <v>0</v>
      </c>
    </row>
    <row r="69" spans="1:15" ht="14.1" customHeight="1" x14ac:dyDescent="0.2">
      <c r="A69" s="174"/>
      <c r="B69" s="175"/>
      <c r="C69" s="175" t="s">
        <v>270</v>
      </c>
      <c r="D69" s="196"/>
      <c r="E69" s="176">
        <f>'Per1'!$O$146</f>
        <v>0</v>
      </c>
      <c r="F69" s="176">
        <f>'Per2'!$O$146</f>
        <v>0</v>
      </c>
      <c r="G69" s="176">
        <f>'Per3'!$O$146</f>
        <v>0</v>
      </c>
      <c r="H69" s="176">
        <f>'Per4'!$O$146</f>
        <v>0</v>
      </c>
      <c r="I69" s="176">
        <f>'Per5'!$O$146</f>
        <v>0</v>
      </c>
      <c r="J69" s="176">
        <f>'Per6'!$O$146</f>
        <v>0</v>
      </c>
      <c r="K69" s="176">
        <f>'Per7'!$O$146</f>
        <v>0</v>
      </c>
      <c r="L69" s="176">
        <f>'Per8'!$O$146</f>
        <v>0</v>
      </c>
      <c r="M69" s="176">
        <f>'Per9'!$O$146</f>
        <v>0</v>
      </c>
      <c r="N69" s="176">
        <f>'Per10'!$O$146</f>
        <v>0</v>
      </c>
      <c r="O69" s="177">
        <f t="shared" si="13"/>
        <v>0</v>
      </c>
    </row>
    <row r="70" spans="1:15" ht="14.1" customHeight="1" x14ac:dyDescent="0.2">
      <c r="A70" s="587" t="s">
        <v>271</v>
      </c>
      <c r="B70" s="592"/>
      <c r="C70" s="592"/>
      <c r="D70" s="197"/>
      <c r="E70" s="180">
        <f>'Per1'!$F$155</f>
        <v>0</v>
      </c>
      <c r="F70" s="180">
        <f>'Per2'!$F$155</f>
        <v>0</v>
      </c>
      <c r="G70" s="180">
        <f>'Per3'!$F$155</f>
        <v>0</v>
      </c>
      <c r="H70" s="180">
        <f>'Per4'!$F$155</f>
        <v>0</v>
      </c>
      <c r="I70" s="180">
        <f>'Per5'!$F$155</f>
        <v>0</v>
      </c>
      <c r="J70" s="180">
        <f>'Per6'!$F$155</f>
        <v>0</v>
      </c>
      <c r="K70" s="180">
        <f>'Per7'!$F$155</f>
        <v>0</v>
      </c>
      <c r="L70" s="180">
        <f>'Per8'!$F$155</f>
        <v>0</v>
      </c>
      <c r="M70" s="180">
        <f>'Per9'!$F$155</f>
        <v>0</v>
      </c>
      <c r="N70" s="180">
        <f>'Per10'!$F$155</f>
        <v>0</v>
      </c>
      <c r="O70" s="180">
        <f>SUM(E70:N70)</f>
        <v>0</v>
      </c>
    </row>
    <row r="71" spans="1:15" ht="14.1" customHeight="1" x14ac:dyDescent="0.2">
      <c r="A71" s="174"/>
      <c r="B71" s="175"/>
      <c r="C71" s="593" t="s">
        <v>272</v>
      </c>
      <c r="D71" s="594"/>
      <c r="E71" s="198" t="str">
        <f>'Per1'!$F$157</f>
        <v>-</v>
      </c>
      <c r="F71" s="198" t="str">
        <f>'Per2'!$F$157</f>
        <v>-</v>
      </c>
      <c r="G71" s="198" t="str">
        <f>'Per3'!$F$157</f>
        <v>-</v>
      </c>
      <c r="H71" s="198" t="str">
        <f>'Per4'!$F$157</f>
        <v>-</v>
      </c>
      <c r="I71" s="198" t="str">
        <f>'Per5'!$F$157</f>
        <v>-</v>
      </c>
      <c r="J71" s="198" t="str">
        <f>'Per6'!$F$157</f>
        <v>-</v>
      </c>
      <c r="K71" s="198" t="str">
        <f>'Per7'!$F$157</f>
        <v>-</v>
      </c>
      <c r="L71" s="198" t="str">
        <f>'Per8'!$F$157</f>
        <v>-</v>
      </c>
      <c r="M71" s="198" t="str">
        <f>'Per9'!$F$157</f>
        <v>-</v>
      </c>
      <c r="N71" s="198" t="str">
        <f>'Per10'!$F$157</f>
        <v>-</v>
      </c>
      <c r="O71" s="199" t="str">
        <f>IF(O74&lt;&gt;0,O70/O75,"")</f>
        <v/>
      </c>
    </row>
    <row r="72" spans="1:15" ht="14.1" customHeight="1" x14ac:dyDescent="0.2">
      <c r="A72" s="237" t="s">
        <v>273</v>
      </c>
      <c r="B72" s="238"/>
      <c r="C72" s="239"/>
      <c r="D72" s="240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7"/>
    </row>
    <row r="73" spans="1:15" ht="14.1" customHeight="1" x14ac:dyDescent="0.2">
      <c r="A73" s="174"/>
      <c r="B73" s="175"/>
      <c r="C73" s="175" t="s">
        <v>274</v>
      </c>
      <c r="D73" s="200"/>
      <c r="E73" s="176">
        <f>'Per1'!$O$144</f>
        <v>0</v>
      </c>
      <c r="F73" s="176">
        <f>'Per2'!$O$144</f>
        <v>0</v>
      </c>
      <c r="G73" s="176">
        <f>'Per3'!$O$144</f>
        <v>0</v>
      </c>
      <c r="H73" s="176">
        <f>'Per4'!$O$144</f>
        <v>0</v>
      </c>
      <c r="I73" s="176">
        <f>'Per5'!$O$144</f>
        <v>0</v>
      </c>
      <c r="J73" s="176">
        <f>'Per6'!$O$144</f>
        <v>0</v>
      </c>
      <c r="K73" s="176">
        <f>'Per7'!$O$144</f>
        <v>0</v>
      </c>
      <c r="L73" s="176">
        <f>'Per8'!$O$144</f>
        <v>0</v>
      </c>
      <c r="M73" s="176">
        <f>'Per9'!$O$144</f>
        <v>0</v>
      </c>
      <c r="N73" s="176">
        <f>'Per10'!$O$144</f>
        <v>0</v>
      </c>
      <c r="O73" s="177">
        <f>SUM(E73:N73)</f>
        <v>0</v>
      </c>
    </row>
    <row r="74" spans="1:15" ht="14.1" customHeight="1" x14ac:dyDescent="0.2">
      <c r="A74" s="174"/>
      <c r="B74" s="175"/>
      <c r="C74" s="175" t="s">
        <v>275</v>
      </c>
      <c r="D74" s="200"/>
      <c r="E74" s="176">
        <f>'Per1'!$O$145</f>
        <v>0</v>
      </c>
      <c r="F74" s="176">
        <f>'Per2'!$O$145</f>
        <v>0</v>
      </c>
      <c r="G74" s="176">
        <f>'Per3'!$O$145</f>
        <v>0</v>
      </c>
      <c r="H74" s="176">
        <f>'Per4'!$O$145</f>
        <v>0</v>
      </c>
      <c r="I74" s="176">
        <f>'Per5'!$O$145</f>
        <v>0</v>
      </c>
      <c r="J74" s="176">
        <f>'Per6'!$O$145</f>
        <v>0</v>
      </c>
      <c r="K74" s="176">
        <f>'Per7'!$O$145</f>
        <v>0</v>
      </c>
      <c r="L74" s="176">
        <f>'Per8'!$O$145</f>
        <v>0</v>
      </c>
      <c r="M74" s="176">
        <f>'Per9'!$O$145</f>
        <v>0</v>
      </c>
      <c r="N74" s="176">
        <f>'Per10'!$O$145</f>
        <v>0</v>
      </c>
      <c r="O74" s="177">
        <f>SUM(E74:N74)</f>
        <v>0</v>
      </c>
    </row>
    <row r="75" spans="1:15" ht="14.1" customHeight="1" x14ac:dyDescent="0.2">
      <c r="A75" s="586" t="s">
        <v>196</v>
      </c>
      <c r="B75" s="586"/>
      <c r="C75" s="587"/>
      <c r="D75" s="201"/>
      <c r="E75" s="179">
        <f>'Per1'!$O$158</f>
        <v>0</v>
      </c>
      <c r="F75" s="179">
        <f>'Per2'!$O$158</f>
        <v>0</v>
      </c>
      <c r="G75" s="179">
        <f>'Per3'!$O$158</f>
        <v>0</v>
      </c>
      <c r="H75" s="179">
        <f>'Per4'!$O$158</f>
        <v>0</v>
      </c>
      <c r="I75" s="179">
        <f>'Per5'!$O$158</f>
        <v>0</v>
      </c>
      <c r="J75" s="179">
        <f>'Per6'!$O$158</f>
        <v>0</v>
      </c>
      <c r="K75" s="179">
        <f>'Per7'!$O$158</f>
        <v>0</v>
      </c>
      <c r="L75" s="179">
        <f>'Per8'!$O$158</f>
        <v>0</v>
      </c>
      <c r="M75" s="179">
        <f>'Per9'!$O$158</f>
        <v>0</v>
      </c>
      <c r="N75" s="179">
        <f>'Per10'!$O$158</f>
        <v>0</v>
      </c>
      <c r="O75" s="180">
        <f>SUM(E75:N75)</f>
        <v>0</v>
      </c>
    </row>
    <row r="76" spans="1:15" x14ac:dyDescent="0.2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</row>
    <row r="77" spans="1:15" ht="144.75" customHeight="1" x14ac:dyDescent="0.2">
      <c r="A77" s="583" t="s">
        <v>276</v>
      </c>
      <c r="B77" s="584"/>
      <c r="C77" s="584"/>
      <c r="D77" s="584"/>
      <c r="E77" s="584"/>
      <c r="F77" s="584"/>
      <c r="G77" s="584"/>
      <c r="H77" s="584"/>
      <c r="I77" s="585"/>
      <c r="J77" s="202"/>
      <c r="K77" s="203"/>
      <c r="L77" s="203"/>
      <c r="M77" s="203"/>
      <c r="N77" s="203"/>
      <c r="O77" s="203"/>
    </row>
    <row r="78" spans="1:15" x14ac:dyDescent="0.2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</row>
    <row r="81" spans="1:18" x14ac:dyDescent="0.2">
      <c r="R81" s="159" t="s">
        <v>277</v>
      </c>
    </row>
    <row r="82" spans="1:18" hidden="1" x14ac:dyDescent="0.2">
      <c r="E82" s="170" t="s">
        <v>63</v>
      </c>
      <c r="F82" s="170" t="s">
        <v>197</v>
      </c>
      <c r="G82" s="170" t="s">
        <v>200</v>
      </c>
      <c r="H82" s="170" t="s">
        <v>202</v>
      </c>
      <c r="I82" s="170" t="s">
        <v>203</v>
      </c>
      <c r="J82" s="170" t="s">
        <v>204</v>
      </c>
      <c r="K82" s="170" t="s">
        <v>207</v>
      </c>
      <c r="L82" s="170" t="s">
        <v>208</v>
      </c>
      <c r="M82" s="170" t="s">
        <v>209</v>
      </c>
      <c r="N82" s="170" t="s">
        <v>210</v>
      </c>
      <c r="O82" s="170" t="s">
        <v>213</v>
      </c>
    </row>
    <row r="83" spans="1:18" ht="14.1" hidden="1" customHeight="1" x14ac:dyDescent="0.2">
      <c r="A83" s="204"/>
      <c r="B83" s="205"/>
      <c r="C83" s="579">
        <f>'Per1'!C101</f>
        <v>0</v>
      </c>
      <c r="D83" s="580"/>
      <c r="E83" s="206">
        <f>'Per1'!$J$101</f>
        <v>0</v>
      </c>
      <c r="F83" s="206">
        <f>'Per2'!$J$101</f>
        <v>0</v>
      </c>
      <c r="G83" s="206">
        <f>'Per3'!$J$101</f>
        <v>0</v>
      </c>
      <c r="H83" s="206">
        <f>'Per4'!$J$101</f>
        <v>0</v>
      </c>
      <c r="I83" s="206">
        <f>'Per5'!$J$101</f>
        <v>0</v>
      </c>
      <c r="J83" s="206">
        <f>'Per6'!$J$101</f>
        <v>0</v>
      </c>
      <c r="K83" s="206">
        <f>'Per7'!$J$101</f>
        <v>0</v>
      </c>
      <c r="L83" s="206">
        <f>'Per8'!$J$101</f>
        <v>0</v>
      </c>
      <c r="M83" s="206">
        <f>'Per9'!$J$101</f>
        <v>0</v>
      </c>
      <c r="N83" s="206">
        <f>'Per10'!$J$101</f>
        <v>0</v>
      </c>
      <c r="O83" s="180">
        <f t="shared" ref="O83:O146" si="14">SUM(E83:I83)</f>
        <v>0</v>
      </c>
    </row>
    <row r="84" spans="1:18" ht="14.1" hidden="1" customHeight="1" x14ac:dyDescent="0.2">
      <c r="A84" s="185" t="s">
        <v>278</v>
      </c>
      <c r="B84" s="186" t="s">
        <v>279</v>
      </c>
      <c r="C84" s="207"/>
      <c r="D84" s="208"/>
      <c r="E84" s="187">
        <f>'Per1'!$K$101</f>
        <v>0</v>
      </c>
      <c r="F84" s="187">
        <f>'Per2'!$K$101</f>
        <v>0</v>
      </c>
      <c r="G84" s="187">
        <f>'Per3'!$K$101</f>
        <v>0</v>
      </c>
      <c r="H84" s="187">
        <f>'Per4'!$K$101</f>
        <v>0</v>
      </c>
      <c r="I84" s="187">
        <f>'Per5'!$K$101</f>
        <v>0</v>
      </c>
      <c r="J84" s="187">
        <f>'Per6'!$K$101</f>
        <v>0</v>
      </c>
      <c r="K84" s="187">
        <f>'Per7'!$K$101</f>
        <v>0</v>
      </c>
      <c r="L84" s="187">
        <f>'Per8'!$K$101</f>
        <v>0</v>
      </c>
      <c r="M84" s="187">
        <f>'Per9'!$K$101</f>
        <v>0</v>
      </c>
      <c r="N84" s="187">
        <f>'Per10'!$K$101</f>
        <v>0</v>
      </c>
      <c r="O84" s="188">
        <f t="shared" si="14"/>
        <v>0</v>
      </c>
    </row>
    <row r="85" spans="1:18" ht="14.1" hidden="1" customHeight="1" x14ac:dyDescent="0.2">
      <c r="A85" s="185" t="s">
        <v>280</v>
      </c>
      <c r="B85" s="186" t="s">
        <v>281</v>
      </c>
      <c r="C85" s="207"/>
      <c r="D85" s="208"/>
      <c r="E85" s="187">
        <f>'Per1'!$L$101</f>
        <v>0</v>
      </c>
      <c r="F85" s="187">
        <f>'Per2'!$L$101</f>
        <v>0</v>
      </c>
      <c r="G85" s="187">
        <f>'Per3'!$L$101</f>
        <v>0</v>
      </c>
      <c r="H85" s="187">
        <f>'Per4'!$L$101</f>
        <v>0</v>
      </c>
      <c r="I85" s="187">
        <f>'Per5'!$L$101</f>
        <v>0</v>
      </c>
      <c r="J85" s="187">
        <f>'Per6'!$L$101</f>
        <v>0</v>
      </c>
      <c r="K85" s="187">
        <f>'Per7'!$L$101</f>
        <v>0</v>
      </c>
      <c r="L85" s="187">
        <f>'Per8'!$L$101</f>
        <v>0</v>
      </c>
      <c r="M85" s="187">
        <f>'Per9'!$L$101</f>
        <v>0</v>
      </c>
      <c r="N85" s="187">
        <f>'Per10'!$L$101</f>
        <v>0</v>
      </c>
      <c r="O85" s="188">
        <f t="shared" si="14"/>
        <v>0</v>
      </c>
    </row>
    <row r="86" spans="1:18" ht="14.1" hidden="1" customHeight="1" x14ac:dyDescent="0.2">
      <c r="A86" s="185" t="s">
        <v>282</v>
      </c>
      <c r="B86" s="186" t="s">
        <v>268</v>
      </c>
      <c r="C86" s="207"/>
      <c r="D86" s="208"/>
      <c r="E86" s="187">
        <f>'Per1'!$M$101</f>
        <v>0</v>
      </c>
      <c r="F86" s="187">
        <f>'Per2'!$M$101</f>
        <v>0</v>
      </c>
      <c r="G86" s="187">
        <f>'Per3'!$M$101</f>
        <v>0</v>
      </c>
      <c r="H86" s="187">
        <f>'Per4'!$M$101</f>
        <v>0</v>
      </c>
      <c r="I86" s="187">
        <f>'Per5'!$M$101</f>
        <v>0</v>
      </c>
      <c r="J86" s="187">
        <f>'Per6'!$M$101</f>
        <v>0</v>
      </c>
      <c r="K86" s="187">
        <f>'Per7'!$M$101</f>
        <v>0</v>
      </c>
      <c r="L86" s="187">
        <f>'Per8'!$M$101</f>
        <v>0</v>
      </c>
      <c r="M86" s="187">
        <f>'Per9'!$M$101</f>
        <v>0</v>
      </c>
      <c r="N86" s="187">
        <f>'Per10'!$M$101</f>
        <v>0</v>
      </c>
      <c r="O86" s="188">
        <f t="shared" si="14"/>
        <v>0</v>
      </c>
    </row>
    <row r="87" spans="1:18" ht="14.1" hidden="1" customHeight="1" x14ac:dyDescent="0.2">
      <c r="A87" s="204"/>
      <c r="B87" s="205"/>
      <c r="C87" s="579">
        <f>'Per1'!C102</f>
        <v>0</v>
      </c>
      <c r="D87" s="580"/>
      <c r="E87" s="206">
        <f>'Per1'!$J$102</f>
        <v>0</v>
      </c>
      <c r="F87" s="206">
        <f>'Per2'!$J$102</f>
        <v>0</v>
      </c>
      <c r="G87" s="206">
        <f>'Per3'!$J$102</f>
        <v>0</v>
      </c>
      <c r="H87" s="206">
        <f>'Per4'!$J$102</f>
        <v>0</v>
      </c>
      <c r="I87" s="206">
        <f>'Per5'!$J$102</f>
        <v>0</v>
      </c>
      <c r="J87" s="206">
        <f>'Per6'!$J$102</f>
        <v>0</v>
      </c>
      <c r="K87" s="206">
        <f>'Per7'!$J$102</f>
        <v>0</v>
      </c>
      <c r="L87" s="206">
        <f>'Per8'!$J$102</f>
        <v>0</v>
      </c>
      <c r="M87" s="206">
        <f>'Per9'!$J$102</f>
        <v>0</v>
      </c>
      <c r="N87" s="206">
        <f>'Per10'!$J$102</f>
        <v>0</v>
      </c>
      <c r="O87" s="180">
        <f t="shared" si="14"/>
        <v>0</v>
      </c>
    </row>
    <row r="88" spans="1:18" ht="14.1" hidden="1" customHeight="1" x14ac:dyDescent="0.2">
      <c r="A88" s="185" t="s">
        <v>278</v>
      </c>
      <c r="B88" s="186" t="s">
        <v>279</v>
      </c>
      <c r="C88" s="207"/>
      <c r="D88" s="208"/>
      <c r="E88" s="187">
        <f>'Per1'!$K$102</f>
        <v>0</v>
      </c>
      <c r="F88" s="187">
        <f>'Per2'!$K$102</f>
        <v>0</v>
      </c>
      <c r="G88" s="187">
        <f>'Per3'!$K$102</f>
        <v>0</v>
      </c>
      <c r="H88" s="187">
        <f>'Per4'!$K$102</f>
        <v>0</v>
      </c>
      <c r="I88" s="187">
        <f>'Per5'!$K$102</f>
        <v>0</v>
      </c>
      <c r="J88" s="187">
        <f>'Per6'!$K$102</f>
        <v>0</v>
      </c>
      <c r="K88" s="187">
        <f>'Per7'!$K$102</f>
        <v>0</v>
      </c>
      <c r="L88" s="187">
        <f>'Per8'!$K$102</f>
        <v>0</v>
      </c>
      <c r="M88" s="187">
        <f>'Per9'!$K$102</f>
        <v>0</v>
      </c>
      <c r="N88" s="187">
        <f>'Per10'!$K$102</f>
        <v>0</v>
      </c>
      <c r="O88" s="188">
        <f t="shared" si="14"/>
        <v>0</v>
      </c>
    </row>
    <row r="89" spans="1:18" ht="14.1" hidden="1" customHeight="1" x14ac:dyDescent="0.2">
      <c r="A89" s="185" t="s">
        <v>280</v>
      </c>
      <c r="B89" s="186" t="s">
        <v>281</v>
      </c>
      <c r="C89" s="207"/>
      <c r="D89" s="208"/>
      <c r="E89" s="187">
        <f>'Per1'!$L$102</f>
        <v>0</v>
      </c>
      <c r="F89" s="187">
        <f>'Per2'!$L$102</f>
        <v>0</v>
      </c>
      <c r="G89" s="187">
        <f>'Per3'!$L$102</f>
        <v>0</v>
      </c>
      <c r="H89" s="187">
        <f>'Per4'!$L$102</f>
        <v>0</v>
      </c>
      <c r="I89" s="187">
        <f>'Per5'!$L$102</f>
        <v>0</v>
      </c>
      <c r="J89" s="187">
        <f>'Per6'!$L$102</f>
        <v>0</v>
      </c>
      <c r="K89" s="187">
        <f>'Per7'!$L$102</f>
        <v>0</v>
      </c>
      <c r="L89" s="187">
        <f>'Per8'!$L$102</f>
        <v>0</v>
      </c>
      <c r="M89" s="187">
        <f>'Per9'!$L$102</f>
        <v>0</v>
      </c>
      <c r="N89" s="187">
        <f>'Per10'!$L$102</f>
        <v>0</v>
      </c>
      <c r="O89" s="188">
        <f t="shared" si="14"/>
        <v>0</v>
      </c>
    </row>
    <row r="90" spans="1:18" ht="14.1" hidden="1" customHeight="1" x14ac:dyDescent="0.2">
      <c r="A90" s="185" t="s">
        <v>282</v>
      </c>
      <c r="B90" s="186" t="s">
        <v>268</v>
      </c>
      <c r="C90" s="207"/>
      <c r="D90" s="208"/>
      <c r="E90" s="187">
        <f>'Per1'!$M$102</f>
        <v>0</v>
      </c>
      <c r="F90" s="187">
        <f>'Per2'!$M$102</f>
        <v>0</v>
      </c>
      <c r="G90" s="187">
        <f>'Per3'!$M$102</f>
        <v>0</v>
      </c>
      <c r="H90" s="187">
        <f>'Per4'!$M$102</f>
        <v>0</v>
      </c>
      <c r="I90" s="187">
        <f>'Per5'!$M$102</f>
        <v>0</v>
      </c>
      <c r="J90" s="187">
        <f>'Per6'!$M$102</f>
        <v>0</v>
      </c>
      <c r="K90" s="187">
        <f>'Per7'!$M$102</f>
        <v>0</v>
      </c>
      <c r="L90" s="187">
        <f>'Per8'!$M$102</f>
        <v>0</v>
      </c>
      <c r="M90" s="187">
        <f>'Per9'!$M$102</f>
        <v>0</v>
      </c>
      <c r="N90" s="187">
        <f>'Per10'!$M$102</f>
        <v>0</v>
      </c>
      <c r="O90" s="188">
        <f t="shared" si="14"/>
        <v>0</v>
      </c>
    </row>
    <row r="91" spans="1:18" ht="14.1" hidden="1" customHeight="1" x14ac:dyDescent="0.2">
      <c r="A91" s="204"/>
      <c r="B91" s="205"/>
      <c r="C91" s="579">
        <f>'Per1'!C103</f>
        <v>0</v>
      </c>
      <c r="D91" s="580"/>
      <c r="E91" s="206">
        <f>'Per1'!$J$103</f>
        <v>0</v>
      </c>
      <c r="F91" s="206">
        <f>'Per2'!$J$103</f>
        <v>0</v>
      </c>
      <c r="G91" s="206">
        <f>'Per3'!$J$103</f>
        <v>0</v>
      </c>
      <c r="H91" s="206">
        <f>'Per4'!$J$103</f>
        <v>0</v>
      </c>
      <c r="I91" s="206">
        <f>'Per5'!$J$103</f>
        <v>0</v>
      </c>
      <c r="J91" s="206">
        <f>'Per6'!$J$103</f>
        <v>0</v>
      </c>
      <c r="K91" s="206">
        <f>'Per7'!$J$103</f>
        <v>0</v>
      </c>
      <c r="L91" s="206">
        <f>'Per8'!$J$103</f>
        <v>0</v>
      </c>
      <c r="M91" s="206">
        <f>'Per9'!$J$103</f>
        <v>0</v>
      </c>
      <c r="N91" s="206">
        <f>'Per10'!$J$103</f>
        <v>0</v>
      </c>
      <c r="O91" s="180">
        <f t="shared" si="14"/>
        <v>0</v>
      </c>
    </row>
    <row r="92" spans="1:18" ht="14.1" hidden="1" customHeight="1" x14ac:dyDescent="0.2">
      <c r="A92" s="185" t="s">
        <v>278</v>
      </c>
      <c r="B92" s="186" t="s">
        <v>279</v>
      </c>
      <c r="C92" s="207"/>
      <c r="D92" s="208"/>
      <c r="E92" s="187">
        <f>'Per1'!$K$103</f>
        <v>0</v>
      </c>
      <c r="F92" s="187">
        <f>'Per2'!$K$103</f>
        <v>0</v>
      </c>
      <c r="G92" s="187">
        <f>'Per3'!$K$103</f>
        <v>0</v>
      </c>
      <c r="H92" s="187">
        <f>'Per4'!$K$103</f>
        <v>0</v>
      </c>
      <c r="I92" s="187">
        <f>'Per5'!$K$103</f>
        <v>0</v>
      </c>
      <c r="J92" s="187">
        <f>'Per6'!$K$103</f>
        <v>0</v>
      </c>
      <c r="K92" s="187">
        <f>'Per7'!$K$103</f>
        <v>0</v>
      </c>
      <c r="L92" s="187">
        <f>'Per8'!$K$103</f>
        <v>0</v>
      </c>
      <c r="M92" s="187">
        <f>'Per9'!$K$103</f>
        <v>0</v>
      </c>
      <c r="N92" s="187">
        <f>'Per10'!$K$103</f>
        <v>0</v>
      </c>
      <c r="O92" s="188">
        <f t="shared" si="14"/>
        <v>0</v>
      </c>
    </row>
    <row r="93" spans="1:18" ht="14.1" hidden="1" customHeight="1" x14ac:dyDescent="0.2">
      <c r="A93" s="185" t="s">
        <v>280</v>
      </c>
      <c r="B93" s="186" t="s">
        <v>281</v>
      </c>
      <c r="C93" s="207"/>
      <c r="D93" s="208"/>
      <c r="E93" s="187">
        <f>'Per1'!$L$103</f>
        <v>0</v>
      </c>
      <c r="F93" s="187">
        <f>'Per2'!$L$103</f>
        <v>0</v>
      </c>
      <c r="G93" s="187">
        <f>'Per3'!$L$103</f>
        <v>0</v>
      </c>
      <c r="H93" s="187">
        <f>'Per4'!$L$103</f>
        <v>0</v>
      </c>
      <c r="I93" s="187">
        <f>'Per5'!$L$103</f>
        <v>0</v>
      </c>
      <c r="J93" s="187">
        <f>'Per6'!$L$103</f>
        <v>0</v>
      </c>
      <c r="K93" s="187">
        <f>'Per7'!$L$103</f>
        <v>0</v>
      </c>
      <c r="L93" s="187">
        <f>'Per8'!$L$103</f>
        <v>0</v>
      </c>
      <c r="M93" s="187">
        <f>'Per9'!$L$103</f>
        <v>0</v>
      </c>
      <c r="N93" s="187">
        <f>'Per10'!$L$103</f>
        <v>0</v>
      </c>
      <c r="O93" s="188">
        <f t="shared" si="14"/>
        <v>0</v>
      </c>
    </row>
    <row r="94" spans="1:18" ht="14.1" hidden="1" customHeight="1" x14ac:dyDescent="0.2">
      <c r="A94" s="185" t="s">
        <v>282</v>
      </c>
      <c r="B94" s="186" t="s">
        <v>268</v>
      </c>
      <c r="C94" s="207"/>
      <c r="D94" s="208"/>
      <c r="E94" s="187">
        <f>'Per1'!$M$103</f>
        <v>0</v>
      </c>
      <c r="F94" s="187">
        <f>'Per2'!$M$103</f>
        <v>0</v>
      </c>
      <c r="G94" s="187">
        <f>'Per3'!$M$103</f>
        <v>0</v>
      </c>
      <c r="H94" s="187">
        <f>'Per4'!$M$103</f>
        <v>0</v>
      </c>
      <c r="I94" s="187">
        <f>'Per5'!$M$103</f>
        <v>0</v>
      </c>
      <c r="J94" s="187">
        <f>'Per6'!$M$103</f>
        <v>0</v>
      </c>
      <c r="K94" s="187">
        <f>'Per7'!$M$103</f>
        <v>0</v>
      </c>
      <c r="L94" s="187">
        <f>'Per8'!$M$103</f>
        <v>0</v>
      </c>
      <c r="M94" s="187">
        <f>'Per9'!$M$103</f>
        <v>0</v>
      </c>
      <c r="N94" s="187">
        <f>'Per10'!$M$103</f>
        <v>0</v>
      </c>
      <c r="O94" s="188">
        <f t="shared" si="14"/>
        <v>0</v>
      </c>
    </row>
    <row r="95" spans="1:18" ht="14.1" hidden="1" customHeight="1" x14ac:dyDescent="0.2">
      <c r="A95" s="204"/>
      <c r="B95" s="205"/>
      <c r="C95" s="579">
        <f>'Per1'!C104</f>
        <v>0</v>
      </c>
      <c r="D95" s="580"/>
      <c r="E95" s="206">
        <f>'Per1'!$J$104</f>
        <v>0</v>
      </c>
      <c r="F95" s="206">
        <f>'Per2'!$J$104</f>
        <v>0</v>
      </c>
      <c r="G95" s="206">
        <f>'Per3'!$J$104</f>
        <v>0</v>
      </c>
      <c r="H95" s="206">
        <f>'Per4'!$J$104</f>
        <v>0</v>
      </c>
      <c r="I95" s="206">
        <f>'Per5'!$J$104</f>
        <v>0</v>
      </c>
      <c r="J95" s="206">
        <f>'Per6'!$J$104</f>
        <v>0</v>
      </c>
      <c r="K95" s="206">
        <f>'Per7'!$J$104</f>
        <v>0</v>
      </c>
      <c r="L95" s="206">
        <f>'Per8'!$J$104</f>
        <v>0</v>
      </c>
      <c r="M95" s="206">
        <f>'Per9'!$J$104</f>
        <v>0</v>
      </c>
      <c r="N95" s="206">
        <f>'Per10'!$J$104</f>
        <v>0</v>
      </c>
      <c r="O95" s="180">
        <f t="shared" si="14"/>
        <v>0</v>
      </c>
    </row>
    <row r="96" spans="1:18" ht="14.1" hidden="1" customHeight="1" x14ac:dyDescent="0.2">
      <c r="A96" s="185" t="s">
        <v>278</v>
      </c>
      <c r="B96" s="186" t="s">
        <v>279</v>
      </c>
      <c r="C96" s="207"/>
      <c r="D96" s="208"/>
      <c r="E96" s="187">
        <f>'Per1'!$K$104</f>
        <v>0</v>
      </c>
      <c r="F96" s="187">
        <f>'Per2'!$K$104</f>
        <v>0</v>
      </c>
      <c r="G96" s="187">
        <f>'Per3'!$K$104</f>
        <v>0</v>
      </c>
      <c r="H96" s="187">
        <f>'Per4'!$K$104</f>
        <v>0</v>
      </c>
      <c r="I96" s="187">
        <f>'Per5'!$K$104</f>
        <v>0</v>
      </c>
      <c r="J96" s="187">
        <f>'Per6'!$K$104</f>
        <v>0</v>
      </c>
      <c r="K96" s="187">
        <f>'Per7'!$K$104</f>
        <v>0</v>
      </c>
      <c r="L96" s="187">
        <f>'Per8'!$K$104</f>
        <v>0</v>
      </c>
      <c r="M96" s="187">
        <f>'Per9'!$K$104</f>
        <v>0</v>
      </c>
      <c r="N96" s="187">
        <f>'Per10'!$K$104</f>
        <v>0</v>
      </c>
      <c r="O96" s="188">
        <f t="shared" si="14"/>
        <v>0</v>
      </c>
    </row>
    <row r="97" spans="1:15" ht="14.1" hidden="1" customHeight="1" x14ac:dyDescent="0.2">
      <c r="A97" s="185" t="s">
        <v>280</v>
      </c>
      <c r="B97" s="186" t="s">
        <v>281</v>
      </c>
      <c r="C97" s="207"/>
      <c r="D97" s="208"/>
      <c r="E97" s="187">
        <f>'Per1'!$L$104</f>
        <v>0</v>
      </c>
      <c r="F97" s="187">
        <f>'Per2'!$L$104</f>
        <v>0</v>
      </c>
      <c r="G97" s="187">
        <f>'Per3'!$L$104</f>
        <v>0</v>
      </c>
      <c r="H97" s="187">
        <f>'Per4'!$L$104</f>
        <v>0</v>
      </c>
      <c r="I97" s="187">
        <f>'Per5'!$L$104</f>
        <v>0</v>
      </c>
      <c r="J97" s="187">
        <f>'Per6'!$L$104</f>
        <v>0</v>
      </c>
      <c r="K97" s="187">
        <f>'Per7'!$L$104</f>
        <v>0</v>
      </c>
      <c r="L97" s="187">
        <f>'Per8'!$L$104</f>
        <v>0</v>
      </c>
      <c r="M97" s="187">
        <f>'Per9'!$L$104</f>
        <v>0</v>
      </c>
      <c r="N97" s="187">
        <f>'Per10'!$L$104</f>
        <v>0</v>
      </c>
      <c r="O97" s="188">
        <f t="shared" si="14"/>
        <v>0</v>
      </c>
    </row>
    <row r="98" spans="1:15" ht="14.1" hidden="1" customHeight="1" x14ac:dyDescent="0.2">
      <c r="A98" s="185" t="s">
        <v>282</v>
      </c>
      <c r="B98" s="186" t="s">
        <v>268</v>
      </c>
      <c r="C98" s="207"/>
      <c r="D98" s="208"/>
      <c r="E98" s="187">
        <f>'Per1'!$M$104</f>
        <v>0</v>
      </c>
      <c r="F98" s="187">
        <f>'Per2'!$M$104</f>
        <v>0</v>
      </c>
      <c r="G98" s="187">
        <f>'Per3'!$M$104</f>
        <v>0</v>
      </c>
      <c r="H98" s="187">
        <f>'Per4'!$M$104</f>
        <v>0</v>
      </c>
      <c r="I98" s="187">
        <f>'Per5'!$M$104</f>
        <v>0</v>
      </c>
      <c r="J98" s="187">
        <f>'Per6'!$M$104</f>
        <v>0</v>
      </c>
      <c r="K98" s="187">
        <f>'Per7'!$M$104</f>
        <v>0</v>
      </c>
      <c r="L98" s="187">
        <f>'Per8'!$M$104</f>
        <v>0</v>
      </c>
      <c r="M98" s="187">
        <f>'Per9'!$M$104</f>
        <v>0</v>
      </c>
      <c r="N98" s="187">
        <f>'Per10'!$M$104</f>
        <v>0</v>
      </c>
      <c r="O98" s="188">
        <f t="shared" si="14"/>
        <v>0</v>
      </c>
    </row>
    <row r="99" spans="1:15" ht="14.1" hidden="1" customHeight="1" x14ac:dyDescent="0.2">
      <c r="A99" s="204"/>
      <c r="B99" s="205"/>
      <c r="C99" s="579">
        <f>'Per1'!C105</f>
        <v>0</v>
      </c>
      <c r="D99" s="580"/>
      <c r="E99" s="206">
        <f>'Per1'!$J$105</f>
        <v>0</v>
      </c>
      <c r="F99" s="206">
        <f>'Per2'!$J$105</f>
        <v>0</v>
      </c>
      <c r="G99" s="206">
        <f>'Per3'!$J$105</f>
        <v>0</v>
      </c>
      <c r="H99" s="206">
        <f>'Per4'!$J$105</f>
        <v>0</v>
      </c>
      <c r="I99" s="206">
        <f>'Per5'!$J$105</f>
        <v>0</v>
      </c>
      <c r="J99" s="206">
        <f>'Per6'!$J$105</f>
        <v>0</v>
      </c>
      <c r="K99" s="206">
        <f>'Per7'!$J$105</f>
        <v>0</v>
      </c>
      <c r="L99" s="206">
        <f>'Per8'!$J$105</f>
        <v>0</v>
      </c>
      <c r="M99" s="206">
        <f>'Per9'!$J$105</f>
        <v>0</v>
      </c>
      <c r="N99" s="206">
        <f>'Per10'!$J$105</f>
        <v>0</v>
      </c>
      <c r="O99" s="180">
        <f t="shared" si="14"/>
        <v>0</v>
      </c>
    </row>
    <row r="100" spans="1:15" ht="14.1" hidden="1" customHeight="1" x14ac:dyDescent="0.2">
      <c r="A100" s="185" t="s">
        <v>278</v>
      </c>
      <c r="B100" s="186" t="s">
        <v>279</v>
      </c>
      <c r="C100" s="207"/>
      <c r="D100" s="208"/>
      <c r="E100" s="187">
        <f>'Per1'!$K$105</f>
        <v>0</v>
      </c>
      <c r="F100" s="187">
        <f>'Per2'!$K$105</f>
        <v>0</v>
      </c>
      <c r="G100" s="187">
        <f>'Per3'!$K$105</f>
        <v>0</v>
      </c>
      <c r="H100" s="187">
        <f>'Per4'!$K$105</f>
        <v>0</v>
      </c>
      <c r="I100" s="187">
        <f>'Per5'!$K$105</f>
        <v>0</v>
      </c>
      <c r="J100" s="187">
        <f>'Per6'!$K$105</f>
        <v>0</v>
      </c>
      <c r="K100" s="187">
        <f>'Per7'!$K$105</f>
        <v>0</v>
      </c>
      <c r="L100" s="187">
        <f>'Per8'!$K$105</f>
        <v>0</v>
      </c>
      <c r="M100" s="187">
        <f>'Per9'!$K$105</f>
        <v>0</v>
      </c>
      <c r="N100" s="187">
        <f>'Per10'!$K$105</f>
        <v>0</v>
      </c>
      <c r="O100" s="188">
        <f t="shared" si="14"/>
        <v>0</v>
      </c>
    </row>
    <row r="101" spans="1:15" ht="14.1" hidden="1" customHeight="1" x14ac:dyDescent="0.2">
      <c r="A101" s="185" t="s">
        <v>280</v>
      </c>
      <c r="B101" s="186" t="s">
        <v>281</v>
      </c>
      <c r="C101" s="207"/>
      <c r="D101" s="208"/>
      <c r="E101" s="187">
        <f>'Per1'!$L$105</f>
        <v>0</v>
      </c>
      <c r="F101" s="187">
        <f>'Per2'!$L$105</f>
        <v>0</v>
      </c>
      <c r="G101" s="187">
        <f>'Per3'!$L$105</f>
        <v>0</v>
      </c>
      <c r="H101" s="187">
        <f>'Per4'!$L$105</f>
        <v>0</v>
      </c>
      <c r="I101" s="187">
        <f>'Per5'!$L$105</f>
        <v>0</v>
      </c>
      <c r="J101" s="187">
        <f>'Per6'!$L$105</f>
        <v>0</v>
      </c>
      <c r="K101" s="187">
        <f>'Per7'!$L$105</f>
        <v>0</v>
      </c>
      <c r="L101" s="187">
        <f>'Per8'!$L$105</f>
        <v>0</v>
      </c>
      <c r="M101" s="187">
        <f>'Per9'!$L$105</f>
        <v>0</v>
      </c>
      <c r="N101" s="187">
        <f>'Per10'!$L$105</f>
        <v>0</v>
      </c>
      <c r="O101" s="188">
        <f t="shared" si="14"/>
        <v>0</v>
      </c>
    </row>
    <row r="102" spans="1:15" ht="14.1" hidden="1" customHeight="1" x14ac:dyDescent="0.2">
      <c r="A102" s="185" t="s">
        <v>282</v>
      </c>
      <c r="B102" s="186" t="s">
        <v>268</v>
      </c>
      <c r="C102" s="207"/>
      <c r="D102" s="208"/>
      <c r="E102" s="187">
        <f>'Per1'!$M$105</f>
        <v>0</v>
      </c>
      <c r="F102" s="187">
        <f>'Per2'!$M$105</f>
        <v>0</v>
      </c>
      <c r="G102" s="187">
        <f>'Per3'!$M$105</f>
        <v>0</v>
      </c>
      <c r="H102" s="187">
        <f>'Per4'!$M$105</f>
        <v>0</v>
      </c>
      <c r="I102" s="187">
        <f>'Per5'!$M$105</f>
        <v>0</v>
      </c>
      <c r="J102" s="187">
        <f>'Per6'!$M$105</f>
        <v>0</v>
      </c>
      <c r="K102" s="187">
        <f>'Per7'!$M$105</f>
        <v>0</v>
      </c>
      <c r="L102" s="187">
        <f>'Per8'!$M$105</f>
        <v>0</v>
      </c>
      <c r="M102" s="187">
        <f>'Per9'!$M$105</f>
        <v>0</v>
      </c>
      <c r="N102" s="187">
        <f>'Per10'!$M$105</f>
        <v>0</v>
      </c>
      <c r="O102" s="188">
        <f t="shared" si="14"/>
        <v>0</v>
      </c>
    </row>
    <row r="103" spans="1:15" ht="14.1" hidden="1" customHeight="1" x14ac:dyDescent="0.2">
      <c r="A103" s="204"/>
      <c r="B103" s="205"/>
      <c r="C103" s="579">
        <f>'Per1'!C106</f>
        <v>0</v>
      </c>
      <c r="D103" s="580"/>
      <c r="E103" s="206">
        <f>'Per1'!$J$106</f>
        <v>0</v>
      </c>
      <c r="F103" s="206">
        <f>'Per2'!$J$106</f>
        <v>0</v>
      </c>
      <c r="G103" s="206">
        <f>'Per3'!$J$106</f>
        <v>0</v>
      </c>
      <c r="H103" s="206">
        <f>'Per4'!$J$106</f>
        <v>0</v>
      </c>
      <c r="I103" s="206">
        <f>'Per5'!$J$106</f>
        <v>0</v>
      </c>
      <c r="J103" s="206">
        <f>'Per6'!$J$106</f>
        <v>0</v>
      </c>
      <c r="K103" s="206">
        <f>'Per7'!$J$106</f>
        <v>0</v>
      </c>
      <c r="L103" s="206">
        <f>'Per8'!$J$106</f>
        <v>0</v>
      </c>
      <c r="M103" s="206">
        <f>'Per9'!$J$106</f>
        <v>0</v>
      </c>
      <c r="N103" s="206">
        <f>'Per10'!$J$106</f>
        <v>0</v>
      </c>
      <c r="O103" s="180">
        <f t="shared" si="14"/>
        <v>0</v>
      </c>
    </row>
    <row r="104" spans="1:15" ht="14.1" hidden="1" customHeight="1" x14ac:dyDescent="0.2">
      <c r="A104" s="185" t="s">
        <v>278</v>
      </c>
      <c r="B104" s="186" t="s">
        <v>279</v>
      </c>
      <c r="C104" s="207"/>
      <c r="D104" s="208"/>
      <c r="E104" s="187">
        <f>'Per1'!$K$106</f>
        <v>0</v>
      </c>
      <c r="F104" s="187">
        <f>'Per2'!$K$106</f>
        <v>0</v>
      </c>
      <c r="G104" s="187">
        <f>'Per3'!$K$106</f>
        <v>0</v>
      </c>
      <c r="H104" s="187">
        <f>'Per4'!$K$106</f>
        <v>0</v>
      </c>
      <c r="I104" s="187">
        <f>'Per5'!$K$106</f>
        <v>0</v>
      </c>
      <c r="J104" s="187">
        <f>'Per6'!$K$106</f>
        <v>0</v>
      </c>
      <c r="K104" s="187">
        <f>'Per7'!$K$106</f>
        <v>0</v>
      </c>
      <c r="L104" s="187">
        <f>'Per8'!$K$106</f>
        <v>0</v>
      </c>
      <c r="M104" s="187">
        <f>'Per9'!$K$106</f>
        <v>0</v>
      </c>
      <c r="N104" s="187">
        <f>'Per10'!$K$106</f>
        <v>0</v>
      </c>
      <c r="O104" s="188">
        <f t="shared" si="14"/>
        <v>0</v>
      </c>
    </row>
    <row r="105" spans="1:15" ht="14.1" hidden="1" customHeight="1" x14ac:dyDescent="0.2">
      <c r="A105" s="185" t="s">
        <v>280</v>
      </c>
      <c r="B105" s="186" t="s">
        <v>281</v>
      </c>
      <c r="C105" s="207"/>
      <c r="D105" s="208"/>
      <c r="E105" s="187">
        <f>'Per1'!$L$106</f>
        <v>0</v>
      </c>
      <c r="F105" s="187">
        <f>'Per2'!$L$106</f>
        <v>0</v>
      </c>
      <c r="G105" s="187">
        <f>'Per3'!$L$106</f>
        <v>0</v>
      </c>
      <c r="H105" s="187">
        <f>'Per4'!$L$106</f>
        <v>0</v>
      </c>
      <c r="I105" s="187">
        <f>'Per5'!$L$106</f>
        <v>0</v>
      </c>
      <c r="J105" s="187">
        <f>'Per6'!$L$106</f>
        <v>0</v>
      </c>
      <c r="K105" s="187">
        <f>'Per7'!$L$106</f>
        <v>0</v>
      </c>
      <c r="L105" s="187">
        <f>'Per8'!$L$106</f>
        <v>0</v>
      </c>
      <c r="M105" s="187">
        <f>'Per9'!$L$106</f>
        <v>0</v>
      </c>
      <c r="N105" s="187">
        <f>'Per10'!$L$106</f>
        <v>0</v>
      </c>
      <c r="O105" s="188">
        <f t="shared" si="14"/>
        <v>0</v>
      </c>
    </row>
    <row r="106" spans="1:15" ht="14.1" hidden="1" customHeight="1" x14ac:dyDescent="0.2">
      <c r="A106" s="185" t="s">
        <v>282</v>
      </c>
      <c r="B106" s="186" t="s">
        <v>268</v>
      </c>
      <c r="C106" s="207"/>
      <c r="D106" s="208"/>
      <c r="E106" s="187">
        <f>'Per1'!$M$106</f>
        <v>0</v>
      </c>
      <c r="F106" s="187">
        <f>'Per2'!$M$106</f>
        <v>0</v>
      </c>
      <c r="G106" s="187">
        <f>'Per3'!$M$106</f>
        <v>0</v>
      </c>
      <c r="H106" s="187">
        <f>'Per4'!$M$106</f>
        <v>0</v>
      </c>
      <c r="I106" s="187">
        <f>'Per5'!$M$106</f>
        <v>0</v>
      </c>
      <c r="J106" s="187">
        <f>'Per6'!$M$106</f>
        <v>0</v>
      </c>
      <c r="K106" s="187">
        <f>'Per7'!$M$106</f>
        <v>0</v>
      </c>
      <c r="L106" s="187">
        <f>'Per8'!$M$106</f>
        <v>0</v>
      </c>
      <c r="M106" s="187">
        <f>'Per9'!$M$106</f>
        <v>0</v>
      </c>
      <c r="N106" s="187">
        <f>'Per10'!$M$106</f>
        <v>0</v>
      </c>
      <c r="O106" s="188">
        <f t="shared" si="14"/>
        <v>0</v>
      </c>
    </row>
    <row r="107" spans="1:15" ht="14.1" hidden="1" customHeight="1" x14ac:dyDescent="0.2">
      <c r="A107" s="204"/>
      <c r="B107" s="205"/>
      <c r="C107" s="579">
        <f>'Per1'!C107</f>
        <v>0</v>
      </c>
      <c r="D107" s="580"/>
      <c r="E107" s="206">
        <f>'Per1'!$J$107</f>
        <v>0</v>
      </c>
      <c r="F107" s="206">
        <f>'Per2'!$J$107</f>
        <v>0</v>
      </c>
      <c r="G107" s="206">
        <f>'Per3'!$J$107</f>
        <v>0</v>
      </c>
      <c r="H107" s="206">
        <f>'Per4'!$J$107</f>
        <v>0</v>
      </c>
      <c r="I107" s="206">
        <f>'Per5'!$J$107</f>
        <v>0</v>
      </c>
      <c r="J107" s="206">
        <f>'Per6'!$J$107</f>
        <v>0</v>
      </c>
      <c r="K107" s="206">
        <f>'Per7'!$J$107</f>
        <v>0</v>
      </c>
      <c r="L107" s="206">
        <f>'Per8'!$J$107</f>
        <v>0</v>
      </c>
      <c r="M107" s="206">
        <f>'Per9'!$J$107</f>
        <v>0</v>
      </c>
      <c r="N107" s="206">
        <f>'Per10'!$J$107</f>
        <v>0</v>
      </c>
      <c r="O107" s="180">
        <f t="shared" si="14"/>
        <v>0</v>
      </c>
    </row>
    <row r="108" spans="1:15" ht="14.1" hidden="1" customHeight="1" x14ac:dyDescent="0.2">
      <c r="A108" s="185" t="s">
        <v>278</v>
      </c>
      <c r="B108" s="186" t="s">
        <v>279</v>
      </c>
      <c r="C108" s="207"/>
      <c r="D108" s="208"/>
      <c r="E108" s="187">
        <f>'Per1'!$K$107</f>
        <v>0</v>
      </c>
      <c r="F108" s="187">
        <f>'Per2'!$K$107</f>
        <v>0</v>
      </c>
      <c r="G108" s="187">
        <f>'Per3'!$K$107</f>
        <v>0</v>
      </c>
      <c r="H108" s="187">
        <f>'Per4'!$K$107</f>
        <v>0</v>
      </c>
      <c r="I108" s="187">
        <f>'Per5'!$K$107</f>
        <v>0</v>
      </c>
      <c r="J108" s="187">
        <f>'Per6'!$K$107</f>
        <v>0</v>
      </c>
      <c r="K108" s="187">
        <f>'Per7'!$K$107</f>
        <v>0</v>
      </c>
      <c r="L108" s="187">
        <f>'Per8'!$K$107</f>
        <v>0</v>
      </c>
      <c r="M108" s="187">
        <f>'Per9'!$K$107</f>
        <v>0</v>
      </c>
      <c r="N108" s="187">
        <f>'Per10'!$K$107</f>
        <v>0</v>
      </c>
      <c r="O108" s="188">
        <f t="shared" si="14"/>
        <v>0</v>
      </c>
    </row>
    <row r="109" spans="1:15" ht="14.1" hidden="1" customHeight="1" x14ac:dyDescent="0.2">
      <c r="A109" s="185" t="s">
        <v>280</v>
      </c>
      <c r="B109" s="186" t="s">
        <v>281</v>
      </c>
      <c r="C109" s="207"/>
      <c r="D109" s="208"/>
      <c r="E109" s="187">
        <f>'Per1'!$L$107</f>
        <v>0</v>
      </c>
      <c r="F109" s="187">
        <f>'Per2'!$L$107</f>
        <v>0</v>
      </c>
      <c r="G109" s="187">
        <f>'Per3'!$L$107</f>
        <v>0</v>
      </c>
      <c r="H109" s="187">
        <f>'Per4'!$L$107</f>
        <v>0</v>
      </c>
      <c r="I109" s="187">
        <f>'Per5'!$L$107</f>
        <v>0</v>
      </c>
      <c r="J109" s="187">
        <f>'Per6'!$L$107</f>
        <v>0</v>
      </c>
      <c r="K109" s="187">
        <f>'Per7'!$L$107</f>
        <v>0</v>
      </c>
      <c r="L109" s="187">
        <f>'Per8'!$L$107</f>
        <v>0</v>
      </c>
      <c r="M109" s="187">
        <f>'Per9'!$L$107</f>
        <v>0</v>
      </c>
      <c r="N109" s="187">
        <f>'Per10'!$L$107</f>
        <v>0</v>
      </c>
      <c r="O109" s="188">
        <f t="shared" si="14"/>
        <v>0</v>
      </c>
    </row>
    <row r="110" spans="1:15" ht="14.1" hidden="1" customHeight="1" x14ac:dyDescent="0.2">
      <c r="A110" s="185" t="s">
        <v>282</v>
      </c>
      <c r="B110" s="186" t="s">
        <v>268</v>
      </c>
      <c r="C110" s="207"/>
      <c r="D110" s="208"/>
      <c r="E110" s="187">
        <f>'Per1'!$M$107</f>
        <v>0</v>
      </c>
      <c r="F110" s="187">
        <f>'Per2'!$M$107</f>
        <v>0</v>
      </c>
      <c r="G110" s="187">
        <f>'Per3'!$M$107</f>
        <v>0</v>
      </c>
      <c r="H110" s="187">
        <f>'Per4'!$M$107</f>
        <v>0</v>
      </c>
      <c r="I110" s="187">
        <f>'Per5'!$M$107</f>
        <v>0</v>
      </c>
      <c r="J110" s="187">
        <f>'Per6'!$M$107</f>
        <v>0</v>
      </c>
      <c r="K110" s="187">
        <f>'Per7'!$M$107</f>
        <v>0</v>
      </c>
      <c r="L110" s="187">
        <f>'Per8'!$M$107</f>
        <v>0</v>
      </c>
      <c r="M110" s="187">
        <f>'Per9'!$M$107</f>
        <v>0</v>
      </c>
      <c r="N110" s="187">
        <f>'Per10'!$M$107</f>
        <v>0</v>
      </c>
      <c r="O110" s="188">
        <f t="shared" si="14"/>
        <v>0</v>
      </c>
    </row>
    <row r="111" spans="1:15" ht="14.1" hidden="1" customHeight="1" x14ac:dyDescent="0.2">
      <c r="A111" s="204"/>
      <c r="B111" s="205"/>
      <c r="C111" s="579">
        <f>'Per1'!C108</f>
        <v>0</v>
      </c>
      <c r="D111" s="580"/>
      <c r="E111" s="206">
        <f>'Per1'!$J$108</f>
        <v>0</v>
      </c>
      <c r="F111" s="206">
        <f>'Per2'!$J$108</f>
        <v>0</v>
      </c>
      <c r="G111" s="206">
        <f>'Per3'!$J$108</f>
        <v>0</v>
      </c>
      <c r="H111" s="206">
        <f>'Per4'!$J$108</f>
        <v>0</v>
      </c>
      <c r="I111" s="206">
        <f>'Per5'!$J$108</f>
        <v>0</v>
      </c>
      <c r="J111" s="206">
        <f>'Per6'!$J$108</f>
        <v>0</v>
      </c>
      <c r="K111" s="206">
        <f>'Per7'!$J$108</f>
        <v>0</v>
      </c>
      <c r="L111" s="206">
        <f>'Per8'!$J$108</f>
        <v>0</v>
      </c>
      <c r="M111" s="206">
        <f>'Per9'!$J$108</f>
        <v>0</v>
      </c>
      <c r="N111" s="206">
        <f>'Per10'!$J$108</f>
        <v>0</v>
      </c>
      <c r="O111" s="180">
        <f t="shared" si="14"/>
        <v>0</v>
      </c>
    </row>
    <row r="112" spans="1:15" ht="14.1" hidden="1" customHeight="1" x14ac:dyDescent="0.2">
      <c r="A112" s="185" t="s">
        <v>278</v>
      </c>
      <c r="B112" s="186" t="s">
        <v>279</v>
      </c>
      <c r="C112" s="207"/>
      <c r="D112" s="208"/>
      <c r="E112" s="187">
        <f>'Per1'!$K$108</f>
        <v>0</v>
      </c>
      <c r="F112" s="187">
        <f>'Per2'!$K$108</f>
        <v>0</v>
      </c>
      <c r="G112" s="187">
        <f>'Per3'!$K$108</f>
        <v>0</v>
      </c>
      <c r="H112" s="187">
        <f>'Per4'!$K$108</f>
        <v>0</v>
      </c>
      <c r="I112" s="187">
        <f>'Per5'!$K$108</f>
        <v>0</v>
      </c>
      <c r="J112" s="187">
        <f>'Per6'!$K$108</f>
        <v>0</v>
      </c>
      <c r="K112" s="187">
        <f>'Per7'!$K$108</f>
        <v>0</v>
      </c>
      <c r="L112" s="187">
        <f>'Per8'!$K$108</f>
        <v>0</v>
      </c>
      <c r="M112" s="187">
        <f>'Per9'!$K$108</f>
        <v>0</v>
      </c>
      <c r="N112" s="187">
        <f>'Per10'!$K$108</f>
        <v>0</v>
      </c>
      <c r="O112" s="188">
        <f t="shared" si="14"/>
        <v>0</v>
      </c>
    </row>
    <row r="113" spans="1:15" ht="14.1" hidden="1" customHeight="1" x14ac:dyDescent="0.2">
      <c r="A113" s="185" t="s">
        <v>280</v>
      </c>
      <c r="B113" s="186" t="s">
        <v>281</v>
      </c>
      <c r="C113" s="207"/>
      <c r="D113" s="208"/>
      <c r="E113" s="187">
        <f>'Per1'!$L$108</f>
        <v>0</v>
      </c>
      <c r="F113" s="187">
        <f>'Per2'!$L$108</f>
        <v>0</v>
      </c>
      <c r="G113" s="187">
        <f>'Per3'!$L$108</f>
        <v>0</v>
      </c>
      <c r="H113" s="187">
        <f>'Per4'!$L$108</f>
        <v>0</v>
      </c>
      <c r="I113" s="187">
        <f>'Per5'!$L$108</f>
        <v>0</v>
      </c>
      <c r="J113" s="187">
        <f>'Per6'!$L$108</f>
        <v>0</v>
      </c>
      <c r="K113" s="187">
        <f>'Per7'!$L$108</f>
        <v>0</v>
      </c>
      <c r="L113" s="187">
        <f>'Per8'!$L$108</f>
        <v>0</v>
      </c>
      <c r="M113" s="187">
        <f>'Per9'!$L$108</f>
        <v>0</v>
      </c>
      <c r="N113" s="187">
        <f>'Per10'!$L$108</f>
        <v>0</v>
      </c>
      <c r="O113" s="188">
        <f t="shared" si="14"/>
        <v>0</v>
      </c>
    </row>
    <row r="114" spans="1:15" ht="14.1" hidden="1" customHeight="1" x14ac:dyDescent="0.2">
      <c r="A114" s="185" t="s">
        <v>282</v>
      </c>
      <c r="B114" s="186" t="s">
        <v>268</v>
      </c>
      <c r="C114" s="207"/>
      <c r="D114" s="208"/>
      <c r="E114" s="187">
        <f>'Per1'!$M$108</f>
        <v>0</v>
      </c>
      <c r="F114" s="187">
        <f>'Per2'!$M$108</f>
        <v>0</v>
      </c>
      <c r="G114" s="187">
        <f>'Per3'!$M$108</f>
        <v>0</v>
      </c>
      <c r="H114" s="187">
        <f>'Per4'!$M$108</f>
        <v>0</v>
      </c>
      <c r="I114" s="187">
        <f>'Per5'!$M$108</f>
        <v>0</v>
      </c>
      <c r="J114" s="187">
        <f>'Per6'!$M$108</f>
        <v>0</v>
      </c>
      <c r="K114" s="187">
        <f>'Per7'!$M$108</f>
        <v>0</v>
      </c>
      <c r="L114" s="187">
        <f>'Per8'!$M$108</f>
        <v>0</v>
      </c>
      <c r="M114" s="187">
        <f>'Per9'!$M$108</f>
        <v>0</v>
      </c>
      <c r="N114" s="187">
        <f>'Per10'!$M$108</f>
        <v>0</v>
      </c>
      <c r="O114" s="188">
        <f t="shared" si="14"/>
        <v>0</v>
      </c>
    </row>
    <row r="115" spans="1:15" ht="14.1" hidden="1" customHeight="1" x14ac:dyDescent="0.2">
      <c r="A115" s="204"/>
      <c r="B115" s="205"/>
      <c r="C115" s="579">
        <f>'Per1'!C109</f>
        <v>0</v>
      </c>
      <c r="D115" s="580"/>
      <c r="E115" s="206">
        <f>'Per1'!$J$109</f>
        <v>0</v>
      </c>
      <c r="F115" s="206">
        <f>'Per2'!$J$109</f>
        <v>0</v>
      </c>
      <c r="G115" s="206">
        <f>'Per3'!$J$109</f>
        <v>0</v>
      </c>
      <c r="H115" s="206">
        <f>'Per4'!$J$109</f>
        <v>0</v>
      </c>
      <c r="I115" s="206">
        <f>'Per5'!$J$109</f>
        <v>0</v>
      </c>
      <c r="J115" s="206">
        <f>'Per6'!$J$109</f>
        <v>0</v>
      </c>
      <c r="K115" s="206">
        <f>'Per7'!$J$109</f>
        <v>0</v>
      </c>
      <c r="L115" s="206">
        <f>'Per8'!$J$109</f>
        <v>0</v>
      </c>
      <c r="M115" s="206">
        <f>'Per9'!$J$109</f>
        <v>0</v>
      </c>
      <c r="N115" s="206">
        <f>'Per10'!$J$109</f>
        <v>0</v>
      </c>
      <c r="O115" s="180">
        <f t="shared" si="14"/>
        <v>0</v>
      </c>
    </row>
    <row r="116" spans="1:15" ht="14.1" hidden="1" customHeight="1" x14ac:dyDescent="0.2">
      <c r="A116" s="185" t="s">
        <v>278</v>
      </c>
      <c r="B116" s="186" t="s">
        <v>279</v>
      </c>
      <c r="C116" s="207"/>
      <c r="D116" s="208"/>
      <c r="E116" s="187">
        <f>'Per1'!$K$109</f>
        <v>0</v>
      </c>
      <c r="F116" s="187">
        <f>'Per2'!$K$109</f>
        <v>0</v>
      </c>
      <c r="G116" s="187">
        <f>'Per3'!$K$109</f>
        <v>0</v>
      </c>
      <c r="H116" s="187">
        <f>'Per4'!$K$109</f>
        <v>0</v>
      </c>
      <c r="I116" s="187">
        <f>'Per5'!$K$109</f>
        <v>0</v>
      </c>
      <c r="J116" s="187">
        <f>'Per6'!$K$109</f>
        <v>0</v>
      </c>
      <c r="K116" s="187">
        <f>'Per7'!$K$109</f>
        <v>0</v>
      </c>
      <c r="L116" s="187">
        <f>'Per8'!$K$109</f>
        <v>0</v>
      </c>
      <c r="M116" s="187">
        <f>'Per9'!$K$109</f>
        <v>0</v>
      </c>
      <c r="N116" s="187">
        <f>'Per10'!$K$109</f>
        <v>0</v>
      </c>
      <c r="O116" s="188">
        <f t="shared" si="14"/>
        <v>0</v>
      </c>
    </row>
    <row r="117" spans="1:15" ht="14.1" hidden="1" customHeight="1" x14ac:dyDescent="0.2">
      <c r="A117" s="185" t="s">
        <v>280</v>
      </c>
      <c r="B117" s="186" t="s">
        <v>281</v>
      </c>
      <c r="C117" s="207"/>
      <c r="D117" s="208"/>
      <c r="E117" s="187">
        <f>'Per1'!$L$109</f>
        <v>0</v>
      </c>
      <c r="F117" s="187">
        <f>'Per2'!$L$109</f>
        <v>0</v>
      </c>
      <c r="G117" s="187">
        <f>'Per3'!$L$109</f>
        <v>0</v>
      </c>
      <c r="H117" s="187">
        <f>'Per4'!$L$109</f>
        <v>0</v>
      </c>
      <c r="I117" s="187">
        <f>'Per5'!$L$109</f>
        <v>0</v>
      </c>
      <c r="J117" s="187">
        <f>'Per6'!$L$109</f>
        <v>0</v>
      </c>
      <c r="K117" s="187">
        <f>'Per7'!$L$109</f>
        <v>0</v>
      </c>
      <c r="L117" s="187">
        <f>'Per8'!$L$109</f>
        <v>0</v>
      </c>
      <c r="M117" s="187">
        <f>'Per9'!$L$109</f>
        <v>0</v>
      </c>
      <c r="N117" s="187">
        <f>'Per10'!$L$109</f>
        <v>0</v>
      </c>
      <c r="O117" s="188">
        <f t="shared" si="14"/>
        <v>0</v>
      </c>
    </row>
    <row r="118" spans="1:15" ht="14.1" hidden="1" customHeight="1" x14ac:dyDescent="0.2">
      <c r="A118" s="185" t="s">
        <v>282</v>
      </c>
      <c r="B118" s="186" t="s">
        <v>268</v>
      </c>
      <c r="C118" s="207"/>
      <c r="D118" s="208"/>
      <c r="E118" s="187">
        <f>'Per1'!$M$109</f>
        <v>0</v>
      </c>
      <c r="F118" s="187">
        <f>'Per2'!$M$109</f>
        <v>0</v>
      </c>
      <c r="G118" s="187">
        <f>'Per3'!$M$109</f>
        <v>0</v>
      </c>
      <c r="H118" s="187">
        <f>'Per4'!$M$109</f>
        <v>0</v>
      </c>
      <c r="I118" s="187">
        <f>'Per5'!$M$109</f>
        <v>0</v>
      </c>
      <c r="J118" s="187">
        <f>'Per6'!$M$109</f>
        <v>0</v>
      </c>
      <c r="K118" s="187">
        <f>'Per7'!$M$109</f>
        <v>0</v>
      </c>
      <c r="L118" s="187">
        <f>'Per8'!$M$109</f>
        <v>0</v>
      </c>
      <c r="M118" s="187">
        <f>'Per9'!$M$109</f>
        <v>0</v>
      </c>
      <c r="N118" s="187">
        <f>'Per10'!$M$109</f>
        <v>0</v>
      </c>
      <c r="O118" s="188">
        <f t="shared" si="14"/>
        <v>0</v>
      </c>
    </row>
    <row r="119" spans="1:15" ht="14.1" hidden="1" customHeight="1" x14ac:dyDescent="0.2">
      <c r="A119" s="204"/>
      <c r="B119" s="205"/>
      <c r="C119" s="579">
        <f>'Per1'!C110</f>
        <v>0</v>
      </c>
      <c r="D119" s="580"/>
      <c r="E119" s="206">
        <f>'Per1'!$J$110</f>
        <v>0</v>
      </c>
      <c r="F119" s="206">
        <f>'Per2'!$J$110</f>
        <v>0</v>
      </c>
      <c r="G119" s="206">
        <f>'Per3'!$J$110</f>
        <v>0</v>
      </c>
      <c r="H119" s="206">
        <f>'Per4'!$J$110</f>
        <v>0</v>
      </c>
      <c r="I119" s="206">
        <f>'Per5'!$J$110</f>
        <v>0</v>
      </c>
      <c r="J119" s="206">
        <f>'Per6'!$J$110</f>
        <v>0</v>
      </c>
      <c r="K119" s="206">
        <f>'Per7'!$J$110</f>
        <v>0</v>
      </c>
      <c r="L119" s="206">
        <f>'Per8'!$J$110</f>
        <v>0</v>
      </c>
      <c r="M119" s="206">
        <f>'Per9'!$J$110</f>
        <v>0</v>
      </c>
      <c r="N119" s="206">
        <f>'Per10'!$J$110</f>
        <v>0</v>
      </c>
      <c r="O119" s="180">
        <f t="shared" si="14"/>
        <v>0</v>
      </c>
    </row>
    <row r="120" spans="1:15" ht="14.1" hidden="1" customHeight="1" x14ac:dyDescent="0.2">
      <c r="A120" s="185" t="s">
        <v>278</v>
      </c>
      <c r="B120" s="186" t="s">
        <v>279</v>
      </c>
      <c r="C120" s="207"/>
      <c r="D120" s="208"/>
      <c r="E120" s="187">
        <f>'Per1'!$K$110</f>
        <v>0</v>
      </c>
      <c r="F120" s="187">
        <f>'Per2'!$K$110</f>
        <v>0</v>
      </c>
      <c r="G120" s="187">
        <f>'Per3'!$K$110</f>
        <v>0</v>
      </c>
      <c r="H120" s="187">
        <f>'Per4'!$K$110</f>
        <v>0</v>
      </c>
      <c r="I120" s="187">
        <f>'Per5'!$K$110</f>
        <v>0</v>
      </c>
      <c r="J120" s="187">
        <f>'Per6'!$K$110</f>
        <v>0</v>
      </c>
      <c r="K120" s="187">
        <f>'Per7'!$K$110</f>
        <v>0</v>
      </c>
      <c r="L120" s="187">
        <f>'Per8'!$K$110</f>
        <v>0</v>
      </c>
      <c r="M120" s="187">
        <f>'Per9'!$K$110</f>
        <v>0</v>
      </c>
      <c r="N120" s="187">
        <f>'Per10'!$K$110</f>
        <v>0</v>
      </c>
      <c r="O120" s="188">
        <f t="shared" si="14"/>
        <v>0</v>
      </c>
    </row>
    <row r="121" spans="1:15" ht="14.1" hidden="1" customHeight="1" x14ac:dyDescent="0.2">
      <c r="A121" s="185" t="s">
        <v>280</v>
      </c>
      <c r="B121" s="186" t="s">
        <v>281</v>
      </c>
      <c r="C121" s="207"/>
      <c r="D121" s="208"/>
      <c r="E121" s="187">
        <f>'Per1'!$L$110</f>
        <v>0</v>
      </c>
      <c r="F121" s="187">
        <f>'Per2'!$L$110</f>
        <v>0</v>
      </c>
      <c r="G121" s="187">
        <f>'Per3'!$L$110</f>
        <v>0</v>
      </c>
      <c r="H121" s="187">
        <f>'Per4'!$L$110</f>
        <v>0</v>
      </c>
      <c r="I121" s="187">
        <f>'Per5'!$L$110</f>
        <v>0</v>
      </c>
      <c r="J121" s="187">
        <f>'Per6'!$L$110</f>
        <v>0</v>
      </c>
      <c r="K121" s="187">
        <f>'Per7'!$L$110</f>
        <v>0</v>
      </c>
      <c r="L121" s="187">
        <f>'Per8'!$L$110</f>
        <v>0</v>
      </c>
      <c r="M121" s="187">
        <f>'Per9'!$L$110</f>
        <v>0</v>
      </c>
      <c r="N121" s="187">
        <f>'Per10'!$L$110</f>
        <v>0</v>
      </c>
      <c r="O121" s="188">
        <f t="shared" si="14"/>
        <v>0</v>
      </c>
    </row>
    <row r="122" spans="1:15" ht="14.1" hidden="1" customHeight="1" x14ac:dyDescent="0.2">
      <c r="A122" s="185" t="s">
        <v>282</v>
      </c>
      <c r="B122" s="186" t="s">
        <v>268</v>
      </c>
      <c r="C122" s="207"/>
      <c r="D122" s="208"/>
      <c r="E122" s="187">
        <f>'Per1'!$M$110</f>
        <v>0</v>
      </c>
      <c r="F122" s="187">
        <f>'Per2'!$M$110</f>
        <v>0</v>
      </c>
      <c r="G122" s="187">
        <f>'Per3'!$M$110</f>
        <v>0</v>
      </c>
      <c r="H122" s="187">
        <f>'Per4'!$M$110</f>
        <v>0</v>
      </c>
      <c r="I122" s="187">
        <f>'Per5'!$M$110</f>
        <v>0</v>
      </c>
      <c r="J122" s="187">
        <f>'Per6'!$M$110</f>
        <v>0</v>
      </c>
      <c r="K122" s="187">
        <f>'Per7'!$M$110</f>
        <v>0</v>
      </c>
      <c r="L122" s="187">
        <f>'Per8'!$M$110</f>
        <v>0</v>
      </c>
      <c r="M122" s="187">
        <f>'Per9'!$M$110</f>
        <v>0</v>
      </c>
      <c r="N122" s="187">
        <f>'Per10'!$M$110</f>
        <v>0</v>
      </c>
      <c r="O122" s="188">
        <f t="shared" si="14"/>
        <v>0</v>
      </c>
    </row>
    <row r="123" spans="1:15" ht="14.1" hidden="1" customHeight="1" x14ac:dyDescent="0.2">
      <c r="A123" s="204"/>
      <c r="B123" s="205"/>
      <c r="C123" s="579">
        <f>'Per1'!C111</f>
        <v>0</v>
      </c>
      <c r="D123" s="580"/>
      <c r="E123" s="206">
        <f>'Per1'!$J$111</f>
        <v>0</v>
      </c>
      <c r="F123" s="206">
        <f>'Per2'!$J$111</f>
        <v>0</v>
      </c>
      <c r="G123" s="206">
        <f>'Per3'!$J$111</f>
        <v>0</v>
      </c>
      <c r="H123" s="206">
        <f>'Per4'!$J$111</f>
        <v>0</v>
      </c>
      <c r="I123" s="206">
        <f>'Per5'!$J$111</f>
        <v>0</v>
      </c>
      <c r="J123" s="206">
        <f>'Per6'!$J$111</f>
        <v>0</v>
      </c>
      <c r="K123" s="206">
        <f>'Per7'!$J$111</f>
        <v>0</v>
      </c>
      <c r="L123" s="206">
        <f>'Per8'!$J$111</f>
        <v>0</v>
      </c>
      <c r="M123" s="206">
        <f>'Per9'!$J$111</f>
        <v>0</v>
      </c>
      <c r="N123" s="206">
        <f>'Per10'!$J$111</f>
        <v>0</v>
      </c>
      <c r="O123" s="180">
        <f t="shared" si="14"/>
        <v>0</v>
      </c>
    </row>
    <row r="124" spans="1:15" ht="14.1" hidden="1" customHeight="1" x14ac:dyDescent="0.2">
      <c r="A124" s="185" t="s">
        <v>278</v>
      </c>
      <c r="B124" s="186" t="s">
        <v>279</v>
      </c>
      <c r="C124" s="207"/>
      <c r="D124" s="208"/>
      <c r="E124" s="187">
        <f>'Per1'!$K$111</f>
        <v>0</v>
      </c>
      <c r="F124" s="187">
        <f>'Per2'!$K$111</f>
        <v>0</v>
      </c>
      <c r="G124" s="187">
        <f>'Per3'!$K$111</f>
        <v>0</v>
      </c>
      <c r="H124" s="187">
        <f>'Per4'!$K$111</f>
        <v>0</v>
      </c>
      <c r="I124" s="187">
        <f>'Per5'!$K$111</f>
        <v>0</v>
      </c>
      <c r="J124" s="187">
        <f>'Per6'!$K$111</f>
        <v>0</v>
      </c>
      <c r="K124" s="187">
        <f>'Per7'!$K$111</f>
        <v>0</v>
      </c>
      <c r="L124" s="187">
        <f>'Per8'!$K$111</f>
        <v>0</v>
      </c>
      <c r="M124" s="187">
        <f>'Per9'!$K$111</f>
        <v>0</v>
      </c>
      <c r="N124" s="187">
        <f>'Per10'!$K$111</f>
        <v>0</v>
      </c>
      <c r="O124" s="188">
        <f t="shared" si="14"/>
        <v>0</v>
      </c>
    </row>
    <row r="125" spans="1:15" ht="14.1" hidden="1" customHeight="1" x14ac:dyDescent="0.2">
      <c r="A125" s="185" t="s">
        <v>280</v>
      </c>
      <c r="B125" s="186" t="s">
        <v>281</v>
      </c>
      <c r="C125" s="207"/>
      <c r="D125" s="208"/>
      <c r="E125" s="187">
        <f>'Per1'!$L$111</f>
        <v>0</v>
      </c>
      <c r="F125" s="187">
        <f>'Per2'!$L$111</f>
        <v>0</v>
      </c>
      <c r="G125" s="187">
        <f>'Per3'!$L$111</f>
        <v>0</v>
      </c>
      <c r="H125" s="187">
        <f>'Per4'!$L$111</f>
        <v>0</v>
      </c>
      <c r="I125" s="187">
        <f>'Per5'!$L$111</f>
        <v>0</v>
      </c>
      <c r="J125" s="187">
        <f>'Per6'!$L$111</f>
        <v>0</v>
      </c>
      <c r="K125" s="187">
        <f>'Per7'!$L$111</f>
        <v>0</v>
      </c>
      <c r="L125" s="187">
        <f>'Per8'!$L$111</f>
        <v>0</v>
      </c>
      <c r="M125" s="187">
        <f>'Per9'!$L$111</f>
        <v>0</v>
      </c>
      <c r="N125" s="187">
        <f>'Per10'!$L$111</f>
        <v>0</v>
      </c>
      <c r="O125" s="188">
        <f t="shared" si="14"/>
        <v>0</v>
      </c>
    </row>
    <row r="126" spans="1:15" ht="14.1" hidden="1" customHeight="1" x14ac:dyDescent="0.2">
      <c r="A126" s="185" t="s">
        <v>282</v>
      </c>
      <c r="B126" s="186" t="s">
        <v>268</v>
      </c>
      <c r="C126" s="207"/>
      <c r="D126" s="208"/>
      <c r="E126" s="187">
        <f>'Per1'!$M$111</f>
        <v>0</v>
      </c>
      <c r="F126" s="187">
        <f>'Per2'!$M$111</f>
        <v>0</v>
      </c>
      <c r="G126" s="187">
        <f>'Per3'!$M$111</f>
        <v>0</v>
      </c>
      <c r="H126" s="187">
        <f>'Per4'!$M$111</f>
        <v>0</v>
      </c>
      <c r="I126" s="187">
        <f>'Per5'!$M$111</f>
        <v>0</v>
      </c>
      <c r="J126" s="187">
        <f>'Per6'!$M$111</f>
        <v>0</v>
      </c>
      <c r="K126" s="187">
        <f>'Per7'!$M$111</f>
        <v>0</v>
      </c>
      <c r="L126" s="187">
        <f>'Per8'!$M$111</f>
        <v>0</v>
      </c>
      <c r="M126" s="187">
        <f>'Per9'!$M$111</f>
        <v>0</v>
      </c>
      <c r="N126" s="187">
        <f>'Per10'!$M$111</f>
        <v>0</v>
      </c>
      <c r="O126" s="188">
        <f t="shared" si="14"/>
        <v>0</v>
      </c>
    </row>
    <row r="127" spans="1:15" ht="14.1" hidden="1" customHeight="1" x14ac:dyDescent="0.2">
      <c r="A127" s="204"/>
      <c r="B127" s="205"/>
      <c r="C127" s="579">
        <f>'Per1'!C112</f>
        <v>0</v>
      </c>
      <c r="D127" s="580"/>
      <c r="E127" s="206">
        <f>'Per1'!$J$112</f>
        <v>0</v>
      </c>
      <c r="F127" s="206">
        <f>'Per2'!$J$112</f>
        <v>0</v>
      </c>
      <c r="G127" s="206">
        <f>'Per3'!$J$112</f>
        <v>0</v>
      </c>
      <c r="H127" s="206">
        <f>'Per4'!$J$112</f>
        <v>0</v>
      </c>
      <c r="I127" s="206">
        <f>'Per5'!$J$112</f>
        <v>0</v>
      </c>
      <c r="J127" s="206">
        <f>'Per6'!$J$112</f>
        <v>0</v>
      </c>
      <c r="K127" s="206">
        <f>'Per7'!$J$112</f>
        <v>0</v>
      </c>
      <c r="L127" s="206">
        <f>'Per8'!$J$112</f>
        <v>0</v>
      </c>
      <c r="M127" s="206">
        <f>'Per9'!$J$112</f>
        <v>0</v>
      </c>
      <c r="N127" s="206">
        <f>'Per10'!$J$112</f>
        <v>0</v>
      </c>
      <c r="O127" s="180">
        <f t="shared" si="14"/>
        <v>0</v>
      </c>
    </row>
    <row r="128" spans="1:15" ht="14.1" hidden="1" customHeight="1" x14ac:dyDescent="0.2">
      <c r="A128" s="185" t="s">
        <v>278</v>
      </c>
      <c r="B128" s="186" t="s">
        <v>279</v>
      </c>
      <c r="C128" s="207"/>
      <c r="D128" s="208"/>
      <c r="E128" s="187">
        <f>'Per1'!$K$112</f>
        <v>0</v>
      </c>
      <c r="F128" s="187">
        <f>'Per2'!$K$112</f>
        <v>0</v>
      </c>
      <c r="G128" s="187">
        <f>'Per3'!$K$112</f>
        <v>0</v>
      </c>
      <c r="H128" s="187">
        <f>'Per4'!$K$112</f>
        <v>0</v>
      </c>
      <c r="I128" s="187">
        <f>'Per5'!$K$112</f>
        <v>0</v>
      </c>
      <c r="J128" s="187">
        <f>'Per6'!$K$112</f>
        <v>0</v>
      </c>
      <c r="K128" s="187">
        <f>'Per7'!$K$112</f>
        <v>0</v>
      </c>
      <c r="L128" s="187">
        <f>'Per8'!$K$112</f>
        <v>0</v>
      </c>
      <c r="M128" s="187">
        <f>'Per9'!$K$112</f>
        <v>0</v>
      </c>
      <c r="N128" s="187">
        <f>'Per10'!$K$112</f>
        <v>0</v>
      </c>
      <c r="O128" s="188">
        <f t="shared" si="14"/>
        <v>0</v>
      </c>
    </row>
    <row r="129" spans="1:15" ht="14.1" hidden="1" customHeight="1" x14ac:dyDescent="0.2">
      <c r="A129" s="185" t="s">
        <v>280</v>
      </c>
      <c r="B129" s="186" t="s">
        <v>281</v>
      </c>
      <c r="C129" s="207"/>
      <c r="D129" s="208"/>
      <c r="E129" s="187">
        <f>'Per1'!$L$112</f>
        <v>0</v>
      </c>
      <c r="F129" s="187">
        <f>'Per2'!$L$112</f>
        <v>0</v>
      </c>
      <c r="G129" s="187">
        <f>'Per3'!$L$112</f>
        <v>0</v>
      </c>
      <c r="H129" s="187">
        <f>'Per4'!$L$112</f>
        <v>0</v>
      </c>
      <c r="I129" s="187">
        <f>'Per5'!$L$112</f>
        <v>0</v>
      </c>
      <c r="J129" s="187">
        <f>'Per6'!$L$112</f>
        <v>0</v>
      </c>
      <c r="K129" s="187">
        <f>'Per7'!$L$112</f>
        <v>0</v>
      </c>
      <c r="L129" s="187">
        <f>'Per8'!$L$112</f>
        <v>0</v>
      </c>
      <c r="M129" s="187">
        <f>'Per9'!$L$112</f>
        <v>0</v>
      </c>
      <c r="N129" s="187">
        <f>'Per10'!$L$112</f>
        <v>0</v>
      </c>
      <c r="O129" s="188">
        <f t="shared" si="14"/>
        <v>0</v>
      </c>
    </row>
    <row r="130" spans="1:15" ht="14.1" hidden="1" customHeight="1" x14ac:dyDescent="0.2">
      <c r="A130" s="185" t="s">
        <v>282</v>
      </c>
      <c r="B130" s="186" t="s">
        <v>268</v>
      </c>
      <c r="C130" s="207"/>
      <c r="D130" s="208"/>
      <c r="E130" s="187">
        <f>'Per1'!$M$112</f>
        <v>0</v>
      </c>
      <c r="F130" s="187">
        <f>'Per2'!$M$112</f>
        <v>0</v>
      </c>
      <c r="G130" s="187">
        <f>'Per3'!$M$112</f>
        <v>0</v>
      </c>
      <c r="H130" s="187">
        <f>'Per4'!$M$112</f>
        <v>0</v>
      </c>
      <c r="I130" s="187">
        <f>'Per5'!$M$112</f>
        <v>0</v>
      </c>
      <c r="J130" s="187">
        <f>'Per6'!$M$112</f>
        <v>0</v>
      </c>
      <c r="K130" s="187">
        <f>'Per7'!$M$112</f>
        <v>0</v>
      </c>
      <c r="L130" s="187">
        <f>'Per8'!$M$112</f>
        <v>0</v>
      </c>
      <c r="M130" s="187">
        <f>'Per9'!$M$112</f>
        <v>0</v>
      </c>
      <c r="N130" s="187">
        <f>'Per10'!$M$112</f>
        <v>0</v>
      </c>
      <c r="O130" s="188">
        <f t="shared" si="14"/>
        <v>0</v>
      </c>
    </row>
    <row r="131" spans="1:15" ht="14.1" hidden="1" customHeight="1" x14ac:dyDescent="0.2">
      <c r="A131" s="204"/>
      <c r="B131" s="205"/>
      <c r="C131" s="579">
        <f>'Per1'!C113</f>
        <v>0</v>
      </c>
      <c r="D131" s="580"/>
      <c r="E131" s="206">
        <f>'Per1'!$J$113</f>
        <v>0</v>
      </c>
      <c r="F131" s="206">
        <f>'Per2'!$J$113</f>
        <v>0</v>
      </c>
      <c r="G131" s="206">
        <f>'Per3'!$J$113</f>
        <v>0</v>
      </c>
      <c r="H131" s="206">
        <f>'Per4'!$J$113</f>
        <v>0</v>
      </c>
      <c r="I131" s="206">
        <f>'Per5'!$J$113</f>
        <v>0</v>
      </c>
      <c r="J131" s="206">
        <f>'Per6'!$J$113</f>
        <v>0</v>
      </c>
      <c r="K131" s="206">
        <f>'Per7'!$J$113</f>
        <v>0</v>
      </c>
      <c r="L131" s="206">
        <f>'Per8'!$J$113</f>
        <v>0</v>
      </c>
      <c r="M131" s="206">
        <f>'Per9'!$J$113</f>
        <v>0</v>
      </c>
      <c r="N131" s="206">
        <f>'Per10'!$J$113</f>
        <v>0</v>
      </c>
      <c r="O131" s="180">
        <f t="shared" si="14"/>
        <v>0</v>
      </c>
    </row>
    <row r="132" spans="1:15" ht="14.1" hidden="1" customHeight="1" x14ac:dyDescent="0.2">
      <c r="A132" s="185" t="s">
        <v>278</v>
      </c>
      <c r="B132" s="186" t="s">
        <v>279</v>
      </c>
      <c r="C132" s="207"/>
      <c r="D132" s="208"/>
      <c r="E132" s="187">
        <f>'Per1'!$K$113</f>
        <v>0</v>
      </c>
      <c r="F132" s="187">
        <f>'Per2'!$K$113</f>
        <v>0</v>
      </c>
      <c r="G132" s="187">
        <f>'Per3'!$K$113</f>
        <v>0</v>
      </c>
      <c r="H132" s="187">
        <f>'Per4'!$K$113</f>
        <v>0</v>
      </c>
      <c r="I132" s="187">
        <f>'Per5'!$K$113</f>
        <v>0</v>
      </c>
      <c r="J132" s="187">
        <f>'Per6'!$K$113</f>
        <v>0</v>
      </c>
      <c r="K132" s="187">
        <f>'Per7'!$K$113</f>
        <v>0</v>
      </c>
      <c r="L132" s="187">
        <f>'Per8'!$K$113</f>
        <v>0</v>
      </c>
      <c r="M132" s="187">
        <f>'Per9'!$K$113</f>
        <v>0</v>
      </c>
      <c r="N132" s="187">
        <f>'Per10'!$K$113</f>
        <v>0</v>
      </c>
      <c r="O132" s="188">
        <f t="shared" si="14"/>
        <v>0</v>
      </c>
    </row>
    <row r="133" spans="1:15" ht="14.1" hidden="1" customHeight="1" x14ac:dyDescent="0.2">
      <c r="A133" s="185" t="s">
        <v>280</v>
      </c>
      <c r="B133" s="186" t="s">
        <v>281</v>
      </c>
      <c r="C133" s="207"/>
      <c r="D133" s="208"/>
      <c r="E133" s="187">
        <f>'Per1'!$L$113</f>
        <v>0</v>
      </c>
      <c r="F133" s="187">
        <f>'Per2'!$L$113</f>
        <v>0</v>
      </c>
      <c r="G133" s="187">
        <f>'Per3'!$L$113</f>
        <v>0</v>
      </c>
      <c r="H133" s="187">
        <f>'Per4'!$L$113</f>
        <v>0</v>
      </c>
      <c r="I133" s="187">
        <f>'Per5'!$L$113</f>
        <v>0</v>
      </c>
      <c r="J133" s="187">
        <f>'Per6'!$L$113</f>
        <v>0</v>
      </c>
      <c r="K133" s="187">
        <f>'Per7'!$L$113</f>
        <v>0</v>
      </c>
      <c r="L133" s="187">
        <f>'Per8'!$L$113</f>
        <v>0</v>
      </c>
      <c r="M133" s="187">
        <f>'Per9'!$L$113</f>
        <v>0</v>
      </c>
      <c r="N133" s="187">
        <f>'Per10'!$L$113</f>
        <v>0</v>
      </c>
      <c r="O133" s="188">
        <f t="shared" si="14"/>
        <v>0</v>
      </c>
    </row>
    <row r="134" spans="1:15" ht="14.1" hidden="1" customHeight="1" x14ac:dyDescent="0.2">
      <c r="A134" s="185" t="s">
        <v>282</v>
      </c>
      <c r="B134" s="186" t="s">
        <v>268</v>
      </c>
      <c r="C134" s="207"/>
      <c r="D134" s="208"/>
      <c r="E134" s="187">
        <f>'Per1'!$M$113</f>
        <v>0</v>
      </c>
      <c r="F134" s="187">
        <f>'Per2'!$M$113</f>
        <v>0</v>
      </c>
      <c r="G134" s="187">
        <f>'Per3'!$M$113</f>
        <v>0</v>
      </c>
      <c r="H134" s="187">
        <f>'Per4'!$M$113</f>
        <v>0</v>
      </c>
      <c r="I134" s="187">
        <f>'Per5'!$M$113</f>
        <v>0</v>
      </c>
      <c r="J134" s="187">
        <f>'Per6'!$M$113</f>
        <v>0</v>
      </c>
      <c r="K134" s="187">
        <f>'Per7'!$M$113</f>
        <v>0</v>
      </c>
      <c r="L134" s="187">
        <f>'Per8'!$M$113</f>
        <v>0</v>
      </c>
      <c r="M134" s="187">
        <f>'Per9'!$M$113</f>
        <v>0</v>
      </c>
      <c r="N134" s="187">
        <f>'Per10'!$M$113</f>
        <v>0</v>
      </c>
      <c r="O134" s="188">
        <f t="shared" si="14"/>
        <v>0</v>
      </c>
    </row>
    <row r="135" spans="1:15" ht="14.1" hidden="1" customHeight="1" x14ac:dyDescent="0.2">
      <c r="A135" s="204"/>
      <c r="B135" s="205"/>
      <c r="C135" s="579">
        <f>'Per1'!C114</f>
        <v>0</v>
      </c>
      <c r="D135" s="580"/>
      <c r="E135" s="206">
        <f>'Per1'!$J$114</f>
        <v>0</v>
      </c>
      <c r="F135" s="206">
        <f>'Per2'!$J$114</f>
        <v>0</v>
      </c>
      <c r="G135" s="206">
        <f>'Per3'!$J$114</f>
        <v>0</v>
      </c>
      <c r="H135" s="206">
        <f>'Per4'!$J$114</f>
        <v>0</v>
      </c>
      <c r="I135" s="206">
        <f>'Per5'!$J$114</f>
        <v>0</v>
      </c>
      <c r="J135" s="206">
        <f>'Per6'!$J$114</f>
        <v>0</v>
      </c>
      <c r="K135" s="206">
        <f>'Per7'!$J$114</f>
        <v>0</v>
      </c>
      <c r="L135" s="206">
        <f>'Per8'!$J$114</f>
        <v>0</v>
      </c>
      <c r="M135" s="206">
        <f>'Per9'!$J$114</f>
        <v>0</v>
      </c>
      <c r="N135" s="206">
        <f>'Per10'!$J$114</f>
        <v>0</v>
      </c>
      <c r="O135" s="180">
        <f t="shared" si="14"/>
        <v>0</v>
      </c>
    </row>
    <row r="136" spans="1:15" ht="14.1" hidden="1" customHeight="1" x14ac:dyDescent="0.2">
      <c r="A136" s="185" t="s">
        <v>278</v>
      </c>
      <c r="B136" s="186" t="s">
        <v>279</v>
      </c>
      <c r="C136" s="207"/>
      <c r="D136" s="208"/>
      <c r="E136" s="187">
        <f>'Per1'!$K$114</f>
        <v>0</v>
      </c>
      <c r="F136" s="187">
        <f>'Per2'!$K$114</f>
        <v>0</v>
      </c>
      <c r="G136" s="187">
        <f>'Per3'!$K$114</f>
        <v>0</v>
      </c>
      <c r="H136" s="187">
        <f>'Per4'!$K$114</f>
        <v>0</v>
      </c>
      <c r="I136" s="187">
        <f>'Per5'!$K$114</f>
        <v>0</v>
      </c>
      <c r="J136" s="187">
        <f>'Per6'!$K$114</f>
        <v>0</v>
      </c>
      <c r="K136" s="187">
        <f>'Per7'!$K$114</f>
        <v>0</v>
      </c>
      <c r="L136" s="187">
        <f>'Per8'!$K$114</f>
        <v>0</v>
      </c>
      <c r="M136" s="187">
        <f>'Per9'!$K$114</f>
        <v>0</v>
      </c>
      <c r="N136" s="187">
        <f>'Per10'!$K$114</f>
        <v>0</v>
      </c>
      <c r="O136" s="188">
        <f t="shared" si="14"/>
        <v>0</v>
      </c>
    </row>
    <row r="137" spans="1:15" ht="14.1" hidden="1" customHeight="1" x14ac:dyDescent="0.2">
      <c r="A137" s="185" t="s">
        <v>280</v>
      </c>
      <c r="B137" s="186" t="s">
        <v>281</v>
      </c>
      <c r="C137" s="207"/>
      <c r="D137" s="208"/>
      <c r="E137" s="187">
        <f>'Per1'!$L$114</f>
        <v>0</v>
      </c>
      <c r="F137" s="187">
        <f>'Per2'!$L$114</f>
        <v>0</v>
      </c>
      <c r="G137" s="187">
        <f>'Per3'!$L$114</f>
        <v>0</v>
      </c>
      <c r="H137" s="187">
        <f>'Per4'!$L$114</f>
        <v>0</v>
      </c>
      <c r="I137" s="187">
        <f>'Per5'!$L$114</f>
        <v>0</v>
      </c>
      <c r="J137" s="187">
        <f>'Per6'!$L$114</f>
        <v>0</v>
      </c>
      <c r="K137" s="187">
        <f>'Per7'!$L$114</f>
        <v>0</v>
      </c>
      <c r="L137" s="187">
        <f>'Per8'!$L$114</f>
        <v>0</v>
      </c>
      <c r="M137" s="187">
        <f>'Per9'!$L$114</f>
        <v>0</v>
      </c>
      <c r="N137" s="187">
        <f>'Per10'!$L$114</f>
        <v>0</v>
      </c>
      <c r="O137" s="188">
        <f t="shared" si="14"/>
        <v>0</v>
      </c>
    </row>
    <row r="138" spans="1:15" ht="14.1" hidden="1" customHeight="1" x14ac:dyDescent="0.2">
      <c r="A138" s="185" t="s">
        <v>282</v>
      </c>
      <c r="B138" s="186" t="s">
        <v>268</v>
      </c>
      <c r="C138" s="207"/>
      <c r="D138" s="208"/>
      <c r="E138" s="187">
        <f>'Per1'!$M$114</f>
        <v>0</v>
      </c>
      <c r="F138" s="187">
        <f>'Per2'!$M$114</f>
        <v>0</v>
      </c>
      <c r="G138" s="187">
        <f>'Per3'!$M$114</f>
        <v>0</v>
      </c>
      <c r="H138" s="187">
        <f>'Per4'!$M$114</f>
        <v>0</v>
      </c>
      <c r="I138" s="187">
        <f>'Per5'!$M$114</f>
        <v>0</v>
      </c>
      <c r="J138" s="187">
        <f>'Per6'!$M$114</f>
        <v>0</v>
      </c>
      <c r="K138" s="187">
        <f>'Per7'!$M$114</f>
        <v>0</v>
      </c>
      <c r="L138" s="187">
        <f>'Per8'!$M$114</f>
        <v>0</v>
      </c>
      <c r="M138" s="187">
        <f>'Per9'!$M$114</f>
        <v>0</v>
      </c>
      <c r="N138" s="187">
        <f>'Per10'!$M$114</f>
        <v>0</v>
      </c>
      <c r="O138" s="188">
        <f t="shared" si="14"/>
        <v>0</v>
      </c>
    </row>
    <row r="139" spans="1:15" ht="14.1" hidden="1" customHeight="1" x14ac:dyDescent="0.2">
      <c r="A139" s="204"/>
      <c r="B139" s="205"/>
      <c r="C139" s="579">
        <f>'Per1'!C115</f>
        <v>0</v>
      </c>
      <c r="D139" s="580"/>
      <c r="E139" s="206">
        <f>'Per1'!$J$115</f>
        <v>0</v>
      </c>
      <c r="F139" s="206">
        <f>'Per2'!$J$115</f>
        <v>0</v>
      </c>
      <c r="G139" s="206">
        <f>'Per3'!$J$115</f>
        <v>0</v>
      </c>
      <c r="H139" s="206">
        <f>'Per4'!$J$115</f>
        <v>0</v>
      </c>
      <c r="I139" s="206">
        <f>'Per5'!$J$115</f>
        <v>0</v>
      </c>
      <c r="J139" s="206">
        <f>'Per6'!$J$115</f>
        <v>0</v>
      </c>
      <c r="K139" s="206">
        <f>'Per7'!$J$115</f>
        <v>0</v>
      </c>
      <c r="L139" s="206">
        <f>'Per8'!$J$115</f>
        <v>0</v>
      </c>
      <c r="M139" s="206">
        <f>'Per9'!$J$115</f>
        <v>0</v>
      </c>
      <c r="N139" s="206">
        <f>'Per10'!$J$115</f>
        <v>0</v>
      </c>
      <c r="O139" s="180">
        <f t="shared" si="14"/>
        <v>0</v>
      </c>
    </row>
    <row r="140" spans="1:15" ht="14.1" hidden="1" customHeight="1" x14ac:dyDescent="0.2">
      <c r="A140" s="185" t="s">
        <v>278</v>
      </c>
      <c r="B140" s="186" t="s">
        <v>279</v>
      </c>
      <c r="C140" s="207"/>
      <c r="D140" s="208"/>
      <c r="E140" s="187">
        <f>'Per1'!$K$115</f>
        <v>0</v>
      </c>
      <c r="F140" s="187">
        <f>'Per2'!$K$115</f>
        <v>0</v>
      </c>
      <c r="G140" s="187">
        <f>'Per3'!$K$115</f>
        <v>0</v>
      </c>
      <c r="H140" s="187">
        <f>'Per4'!$K$115</f>
        <v>0</v>
      </c>
      <c r="I140" s="187">
        <f>'Per5'!$K$115</f>
        <v>0</v>
      </c>
      <c r="J140" s="187">
        <f>'Per6'!$K$115</f>
        <v>0</v>
      </c>
      <c r="K140" s="187">
        <f>'Per7'!$K$115</f>
        <v>0</v>
      </c>
      <c r="L140" s="187">
        <f>'Per8'!$K$115</f>
        <v>0</v>
      </c>
      <c r="M140" s="187">
        <f>'Per9'!$K$115</f>
        <v>0</v>
      </c>
      <c r="N140" s="187">
        <f>'Per10'!$K$115</f>
        <v>0</v>
      </c>
      <c r="O140" s="188">
        <f t="shared" si="14"/>
        <v>0</v>
      </c>
    </row>
    <row r="141" spans="1:15" ht="14.1" hidden="1" customHeight="1" x14ac:dyDescent="0.2">
      <c r="A141" s="185" t="s">
        <v>280</v>
      </c>
      <c r="B141" s="186" t="s">
        <v>281</v>
      </c>
      <c r="C141" s="207"/>
      <c r="D141" s="208"/>
      <c r="E141" s="187">
        <f>'Per1'!$L$115</f>
        <v>0</v>
      </c>
      <c r="F141" s="187">
        <f>'Per2'!$L$115</f>
        <v>0</v>
      </c>
      <c r="G141" s="187">
        <f>'Per3'!$L$115</f>
        <v>0</v>
      </c>
      <c r="H141" s="187">
        <f>'Per4'!$L$115</f>
        <v>0</v>
      </c>
      <c r="I141" s="187">
        <f>'Per5'!$L$115</f>
        <v>0</v>
      </c>
      <c r="J141" s="187">
        <f>'Per6'!$L$115</f>
        <v>0</v>
      </c>
      <c r="K141" s="187">
        <f>'Per7'!$L$115</f>
        <v>0</v>
      </c>
      <c r="L141" s="187">
        <f>'Per8'!$L$115</f>
        <v>0</v>
      </c>
      <c r="M141" s="187">
        <f>'Per9'!$L$115</f>
        <v>0</v>
      </c>
      <c r="N141" s="187">
        <f>'Per10'!$L$115</f>
        <v>0</v>
      </c>
      <c r="O141" s="188">
        <f t="shared" si="14"/>
        <v>0</v>
      </c>
    </row>
    <row r="142" spans="1:15" ht="14.1" hidden="1" customHeight="1" x14ac:dyDescent="0.2">
      <c r="A142" s="185" t="s">
        <v>282</v>
      </c>
      <c r="B142" s="186" t="s">
        <v>268</v>
      </c>
      <c r="C142" s="207"/>
      <c r="D142" s="208"/>
      <c r="E142" s="187">
        <f>'Per1'!$M$115</f>
        <v>0</v>
      </c>
      <c r="F142" s="187">
        <f>'Per2'!$M$115</f>
        <v>0</v>
      </c>
      <c r="G142" s="187">
        <f>'Per3'!$M$115</f>
        <v>0</v>
      </c>
      <c r="H142" s="187">
        <f>'Per4'!$M$115</f>
        <v>0</v>
      </c>
      <c r="I142" s="187">
        <f>'Per5'!$M$115</f>
        <v>0</v>
      </c>
      <c r="J142" s="187">
        <f>'Per6'!$M$115</f>
        <v>0</v>
      </c>
      <c r="K142" s="187">
        <f>'Per7'!$M$115</f>
        <v>0</v>
      </c>
      <c r="L142" s="187">
        <f>'Per8'!$M$115</f>
        <v>0</v>
      </c>
      <c r="M142" s="187">
        <f>'Per9'!$M$115</f>
        <v>0</v>
      </c>
      <c r="N142" s="187">
        <f>'Per10'!$M$115</f>
        <v>0</v>
      </c>
      <c r="O142" s="188">
        <f t="shared" si="14"/>
        <v>0</v>
      </c>
    </row>
    <row r="143" spans="1:15" ht="14.1" hidden="1" customHeight="1" x14ac:dyDescent="0.2">
      <c r="A143" s="204"/>
      <c r="B143" s="205"/>
      <c r="C143" s="579">
        <f>'Per1'!C116</f>
        <v>0</v>
      </c>
      <c r="D143" s="580"/>
      <c r="E143" s="206">
        <f>'Per1'!$J$116</f>
        <v>0</v>
      </c>
      <c r="F143" s="206">
        <f>'Per2'!$J$116</f>
        <v>0</v>
      </c>
      <c r="G143" s="206">
        <f>'Per3'!$J$116</f>
        <v>0</v>
      </c>
      <c r="H143" s="206">
        <f>'Per4'!$J$116</f>
        <v>0</v>
      </c>
      <c r="I143" s="206">
        <f>'Per5'!$J$116</f>
        <v>0</v>
      </c>
      <c r="J143" s="206">
        <f>'Per6'!$J$116</f>
        <v>0</v>
      </c>
      <c r="K143" s="206">
        <f>'Per7'!$J$116</f>
        <v>0</v>
      </c>
      <c r="L143" s="206">
        <f>'Per8'!$J$116</f>
        <v>0</v>
      </c>
      <c r="M143" s="206">
        <f>'Per9'!$J$116</f>
        <v>0</v>
      </c>
      <c r="N143" s="206">
        <f>'Per10'!$J$116</f>
        <v>0</v>
      </c>
      <c r="O143" s="180">
        <f t="shared" si="14"/>
        <v>0</v>
      </c>
    </row>
    <row r="144" spans="1:15" ht="14.1" hidden="1" customHeight="1" x14ac:dyDescent="0.2">
      <c r="A144" s="185" t="s">
        <v>278</v>
      </c>
      <c r="B144" s="186" t="s">
        <v>279</v>
      </c>
      <c r="C144" s="207"/>
      <c r="D144" s="208"/>
      <c r="E144" s="187">
        <f>'Per1'!$K$116</f>
        <v>0</v>
      </c>
      <c r="F144" s="187">
        <f>'Per2'!$K$116</f>
        <v>0</v>
      </c>
      <c r="G144" s="187">
        <f>'Per3'!$K$116</f>
        <v>0</v>
      </c>
      <c r="H144" s="187">
        <f>'Per4'!$K$116</f>
        <v>0</v>
      </c>
      <c r="I144" s="187">
        <f>'Per5'!$K$116</f>
        <v>0</v>
      </c>
      <c r="J144" s="187">
        <f>'Per6'!$K$116</f>
        <v>0</v>
      </c>
      <c r="K144" s="187">
        <f>'Per7'!$K$116</f>
        <v>0</v>
      </c>
      <c r="L144" s="187">
        <f>'Per8'!$K$116</f>
        <v>0</v>
      </c>
      <c r="M144" s="187">
        <f>'Per9'!$K$116</f>
        <v>0</v>
      </c>
      <c r="N144" s="187">
        <f>'Per10'!$K$116</f>
        <v>0</v>
      </c>
      <c r="O144" s="188">
        <f t="shared" si="14"/>
        <v>0</v>
      </c>
    </row>
    <row r="145" spans="1:15" ht="14.1" hidden="1" customHeight="1" x14ac:dyDescent="0.2">
      <c r="A145" s="185" t="s">
        <v>280</v>
      </c>
      <c r="B145" s="186" t="s">
        <v>281</v>
      </c>
      <c r="C145" s="207"/>
      <c r="D145" s="208"/>
      <c r="E145" s="187">
        <f>'Per1'!$L$116</f>
        <v>0</v>
      </c>
      <c r="F145" s="187">
        <f>'Per2'!$L$116</f>
        <v>0</v>
      </c>
      <c r="G145" s="187">
        <f>'Per3'!$L$116</f>
        <v>0</v>
      </c>
      <c r="H145" s="187">
        <f>'Per4'!$L$116</f>
        <v>0</v>
      </c>
      <c r="I145" s="187">
        <f>'Per5'!$L$116</f>
        <v>0</v>
      </c>
      <c r="J145" s="187">
        <f>'Per6'!$L$116</f>
        <v>0</v>
      </c>
      <c r="K145" s="187">
        <f>'Per7'!$L$116</f>
        <v>0</v>
      </c>
      <c r="L145" s="187">
        <f>'Per8'!$L$116</f>
        <v>0</v>
      </c>
      <c r="M145" s="187">
        <f>'Per9'!$L$116</f>
        <v>0</v>
      </c>
      <c r="N145" s="187">
        <f>'Per10'!$L$116</f>
        <v>0</v>
      </c>
      <c r="O145" s="188">
        <f t="shared" si="14"/>
        <v>0</v>
      </c>
    </row>
    <row r="146" spans="1:15" ht="14.1" hidden="1" customHeight="1" x14ac:dyDescent="0.2">
      <c r="A146" s="185" t="s">
        <v>282</v>
      </c>
      <c r="B146" s="186" t="s">
        <v>268</v>
      </c>
      <c r="C146" s="207"/>
      <c r="D146" s="208"/>
      <c r="E146" s="187">
        <f>'Per1'!$M$116</f>
        <v>0</v>
      </c>
      <c r="F146" s="187">
        <f>'Per2'!$M$116</f>
        <v>0</v>
      </c>
      <c r="G146" s="187">
        <f>'Per3'!$M$116</f>
        <v>0</v>
      </c>
      <c r="H146" s="187">
        <f>'Per4'!$M$116</f>
        <v>0</v>
      </c>
      <c r="I146" s="187">
        <f>'Per5'!$M$116</f>
        <v>0</v>
      </c>
      <c r="J146" s="187">
        <f>'Per6'!$M$116</f>
        <v>0</v>
      </c>
      <c r="K146" s="187">
        <f>'Per7'!$M$116</f>
        <v>0</v>
      </c>
      <c r="L146" s="187">
        <f>'Per8'!$M$116</f>
        <v>0</v>
      </c>
      <c r="M146" s="187">
        <f>'Per9'!$M$116</f>
        <v>0</v>
      </c>
      <c r="N146" s="187">
        <f>'Per10'!$M$116</f>
        <v>0</v>
      </c>
      <c r="O146" s="188">
        <f t="shared" si="14"/>
        <v>0</v>
      </c>
    </row>
    <row r="147" spans="1:15" ht="14.1" hidden="1" customHeight="1" x14ac:dyDescent="0.2">
      <c r="A147" s="204"/>
      <c r="B147" s="205"/>
      <c r="C147" s="579">
        <f>'Per1'!C117</f>
        <v>0</v>
      </c>
      <c r="D147" s="580"/>
      <c r="E147" s="206">
        <f>'Per1'!$J$117</f>
        <v>0</v>
      </c>
      <c r="F147" s="206">
        <f>'Per2'!$J$117</f>
        <v>0</v>
      </c>
      <c r="G147" s="206">
        <f>'Per3'!$J$117</f>
        <v>0</v>
      </c>
      <c r="H147" s="206">
        <f>'Per4'!$J$117</f>
        <v>0</v>
      </c>
      <c r="I147" s="206">
        <f>'Per5'!$J$117</f>
        <v>0</v>
      </c>
      <c r="J147" s="206">
        <f>'Per6'!$J$117</f>
        <v>0</v>
      </c>
      <c r="K147" s="206">
        <f>'Per7'!$J$117</f>
        <v>0</v>
      </c>
      <c r="L147" s="206">
        <f>'Per8'!$J$117</f>
        <v>0</v>
      </c>
      <c r="M147" s="206">
        <f>'Per9'!$J$117</f>
        <v>0</v>
      </c>
      <c r="N147" s="206">
        <f>'Per10'!$J$117</f>
        <v>0</v>
      </c>
      <c r="O147" s="180">
        <f t="shared" ref="O147:O162" si="15">SUM(E147:I147)</f>
        <v>0</v>
      </c>
    </row>
    <row r="148" spans="1:15" ht="14.1" hidden="1" customHeight="1" x14ac:dyDescent="0.2">
      <c r="A148" s="185" t="s">
        <v>278</v>
      </c>
      <c r="B148" s="186" t="s">
        <v>279</v>
      </c>
      <c r="C148" s="207"/>
      <c r="D148" s="208"/>
      <c r="E148" s="187">
        <f>'Per1'!$K$117</f>
        <v>0</v>
      </c>
      <c r="F148" s="187">
        <f>'Per2'!$K$117</f>
        <v>0</v>
      </c>
      <c r="G148" s="187">
        <f>'Per3'!$K$117</f>
        <v>0</v>
      </c>
      <c r="H148" s="187">
        <f>'Per4'!$K$117</f>
        <v>0</v>
      </c>
      <c r="I148" s="187">
        <f>'Per5'!$K$117</f>
        <v>0</v>
      </c>
      <c r="J148" s="187">
        <f>'Per6'!$K$117</f>
        <v>0</v>
      </c>
      <c r="K148" s="187">
        <f>'Per7'!$K$117</f>
        <v>0</v>
      </c>
      <c r="L148" s="187">
        <f>'Per8'!$K$117</f>
        <v>0</v>
      </c>
      <c r="M148" s="187">
        <f>'Per9'!$K$117</f>
        <v>0</v>
      </c>
      <c r="N148" s="187">
        <f>'Per10'!$K$117</f>
        <v>0</v>
      </c>
      <c r="O148" s="188">
        <f t="shared" si="15"/>
        <v>0</v>
      </c>
    </row>
    <row r="149" spans="1:15" ht="14.1" hidden="1" customHeight="1" x14ac:dyDescent="0.2">
      <c r="A149" s="185" t="s">
        <v>280</v>
      </c>
      <c r="B149" s="186" t="s">
        <v>281</v>
      </c>
      <c r="C149" s="207"/>
      <c r="D149" s="208"/>
      <c r="E149" s="187">
        <f>'Per1'!$L$117</f>
        <v>0</v>
      </c>
      <c r="F149" s="187">
        <f>'Per2'!$L$117</f>
        <v>0</v>
      </c>
      <c r="G149" s="187">
        <f>'Per3'!$L$117</f>
        <v>0</v>
      </c>
      <c r="H149" s="187">
        <f>'Per4'!$L$117</f>
        <v>0</v>
      </c>
      <c r="I149" s="187">
        <f>'Per5'!$L$117</f>
        <v>0</v>
      </c>
      <c r="J149" s="187">
        <f>'Per6'!$L$117</f>
        <v>0</v>
      </c>
      <c r="K149" s="187">
        <f>'Per7'!$L$117</f>
        <v>0</v>
      </c>
      <c r="L149" s="187">
        <f>'Per8'!$L$117</f>
        <v>0</v>
      </c>
      <c r="M149" s="187">
        <f>'Per9'!$L$117</f>
        <v>0</v>
      </c>
      <c r="N149" s="187">
        <f>'Per10'!$L$117</f>
        <v>0</v>
      </c>
      <c r="O149" s="188">
        <f t="shared" si="15"/>
        <v>0</v>
      </c>
    </row>
    <row r="150" spans="1:15" ht="14.1" hidden="1" customHeight="1" x14ac:dyDescent="0.2">
      <c r="A150" s="185" t="s">
        <v>282</v>
      </c>
      <c r="B150" s="186" t="s">
        <v>268</v>
      </c>
      <c r="C150" s="207"/>
      <c r="D150" s="208"/>
      <c r="E150" s="187">
        <f>'Per1'!$M$117</f>
        <v>0</v>
      </c>
      <c r="F150" s="187">
        <f>'Per2'!$M$117</f>
        <v>0</v>
      </c>
      <c r="G150" s="187">
        <f>'Per3'!$M$117</f>
        <v>0</v>
      </c>
      <c r="H150" s="187">
        <f>'Per4'!$M$117</f>
        <v>0</v>
      </c>
      <c r="I150" s="187">
        <f>'Per5'!$M$117</f>
        <v>0</v>
      </c>
      <c r="J150" s="187">
        <f>'Per6'!$M$117</f>
        <v>0</v>
      </c>
      <c r="K150" s="187">
        <f>'Per7'!$M$117</f>
        <v>0</v>
      </c>
      <c r="L150" s="187">
        <f>'Per8'!$M$117</f>
        <v>0</v>
      </c>
      <c r="M150" s="187">
        <f>'Per9'!$M$117</f>
        <v>0</v>
      </c>
      <c r="N150" s="187">
        <f>'Per10'!$M$117</f>
        <v>0</v>
      </c>
      <c r="O150" s="188">
        <f t="shared" si="15"/>
        <v>0</v>
      </c>
    </row>
    <row r="151" spans="1:15" ht="14.1" hidden="1" customHeight="1" x14ac:dyDescent="0.2">
      <c r="A151" s="204"/>
      <c r="B151" s="205"/>
      <c r="C151" s="579">
        <f>'Per1'!C118</f>
        <v>0</v>
      </c>
      <c r="D151" s="580"/>
      <c r="E151" s="206">
        <f>'Per1'!$J$118</f>
        <v>0</v>
      </c>
      <c r="F151" s="206">
        <f>'Per2'!$J$118</f>
        <v>0</v>
      </c>
      <c r="G151" s="206">
        <f>'Per3'!$J$118</f>
        <v>0</v>
      </c>
      <c r="H151" s="206">
        <f>'Per4'!$J$118</f>
        <v>0</v>
      </c>
      <c r="I151" s="206">
        <f>'Per5'!$J$118</f>
        <v>0</v>
      </c>
      <c r="J151" s="206">
        <f>'Per6'!$J$118</f>
        <v>0</v>
      </c>
      <c r="K151" s="206">
        <f>'Per7'!$J$118</f>
        <v>0</v>
      </c>
      <c r="L151" s="206">
        <f>'Per8'!$J$118</f>
        <v>0</v>
      </c>
      <c r="M151" s="206">
        <f>'Per9'!$J$118</f>
        <v>0</v>
      </c>
      <c r="N151" s="206">
        <f>'Per10'!$J$118</f>
        <v>0</v>
      </c>
      <c r="O151" s="180">
        <f t="shared" si="15"/>
        <v>0</v>
      </c>
    </row>
    <row r="152" spans="1:15" ht="14.1" hidden="1" customHeight="1" x14ac:dyDescent="0.2">
      <c r="A152" s="185" t="s">
        <v>278</v>
      </c>
      <c r="B152" s="186" t="s">
        <v>279</v>
      </c>
      <c r="C152" s="207"/>
      <c r="D152" s="208"/>
      <c r="E152" s="187">
        <f>'Per1'!$K$118</f>
        <v>0</v>
      </c>
      <c r="F152" s="187">
        <f>'Per2'!$K$118</f>
        <v>0</v>
      </c>
      <c r="G152" s="187">
        <f>'Per3'!$K$118</f>
        <v>0</v>
      </c>
      <c r="H152" s="187">
        <f>'Per4'!$K$118</f>
        <v>0</v>
      </c>
      <c r="I152" s="187">
        <f>'Per5'!$K$118</f>
        <v>0</v>
      </c>
      <c r="J152" s="187">
        <f>'Per6'!$K$118</f>
        <v>0</v>
      </c>
      <c r="K152" s="187">
        <f>'Per7'!$K$118</f>
        <v>0</v>
      </c>
      <c r="L152" s="187">
        <f>'Per8'!$K$118</f>
        <v>0</v>
      </c>
      <c r="M152" s="187">
        <f>'Per9'!$K$118</f>
        <v>0</v>
      </c>
      <c r="N152" s="187">
        <f>'Per10'!$K$118</f>
        <v>0</v>
      </c>
      <c r="O152" s="188">
        <f t="shared" si="15"/>
        <v>0</v>
      </c>
    </row>
    <row r="153" spans="1:15" ht="14.1" hidden="1" customHeight="1" x14ac:dyDescent="0.2">
      <c r="A153" s="185" t="s">
        <v>280</v>
      </c>
      <c r="B153" s="186" t="s">
        <v>281</v>
      </c>
      <c r="C153" s="207"/>
      <c r="D153" s="208"/>
      <c r="E153" s="187">
        <f>'Per1'!$L$118</f>
        <v>0</v>
      </c>
      <c r="F153" s="187">
        <f>'Per2'!$L$118</f>
        <v>0</v>
      </c>
      <c r="G153" s="187">
        <f>'Per3'!$L$118</f>
        <v>0</v>
      </c>
      <c r="H153" s="187">
        <f>'Per4'!$L$118</f>
        <v>0</v>
      </c>
      <c r="I153" s="187">
        <f>'Per5'!$L$118</f>
        <v>0</v>
      </c>
      <c r="J153" s="187">
        <f>'Per6'!$L$118</f>
        <v>0</v>
      </c>
      <c r="K153" s="187">
        <f>'Per7'!$L$118</f>
        <v>0</v>
      </c>
      <c r="L153" s="187">
        <f>'Per8'!$L$118</f>
        <v>0</v>
      </c>
      <c r="M153" s="187">
        <f>'Per9'!$L$118</f>
        <v>0</v>
      </c>
      <c r="N153" s="187">
        <f>'Per10'!$L$118</f>
        <v>0</v>
      </c>
      <c r="O153" s="188">
        <f t="shared" si="15"/>
        <v>0</v>
      </c>
    </row>
    <row r="154" spans="1:15" ht="14.1" hidden="1" customHeight="1" x14ac:dyDescent="0.2">
      <c r="A154" s="185" t="s">
        <v>282</v>
      </c>
      <c r="B154" s="186" t="s">
        <v>268</v>
      </c>
      <c r="C154" s="207"/>
      <c r="D154" s="208"/>
      <c r="E154" s="187">
        <f>'Per1'!$M$118</f>
        <v>0</v>
      </c>
      <c r="F154" s="187">
        <f>'Per2'!$M$118</f>
        <v>0</v>
      </c>
      <c r="G154" s="187">
        <f>'Per3'!$M$118</f>
        <v>0</v>
      </c>
      <c r="H154" s="187">
        <f>'Per4'!$M$118</f>
        <v>0</v>
      </c>
      <c r="I154" s="187">
        <f>'Per5'!$M$118</f>
        <v>0</v>
      </c>
      <c r="J154" s="187">
        <f>'Per6'!$M$118</f>
        <v>0</v>
      </c>
      <c r="K154" s="187">
        <f>'Per7'!$M$118</f>
        <v>0</v>
      </c>
      <c r="L154" s="187">
        <f>'Per8'!$M$118</f>
        <v>0</v>
      </c>
      <c r="M154" s="187">
        <f>'Per9'!$M$118</f>
        <v>0</v>
      </c>
      <c r="N154" s="187">
        <f>'Per10'!$M$118</f>
        <v>0</v>
      </c>
      <c r="O154" s="188">
        <f t="shared" si="15"/>
        <v>0</v>
      </c>
    </row>
    <row r="155" spans="1:15" ht="14.1" hidden="1" customHeight="1" x14ac:dyDescent="0.2">
      <c r="A155" s="204"/>
      <c r="B155" s="205"/>
      <c r="C155" s="579">
        <f>'Per1'!C119</f>
        <v>0</v>
      </c>
      <c r="D155" s="580"/>
      <c r="E155" s="206">
        <f>'Per1'!$J$119</f>
        <v>0</v>
      </c>
      <c r="F155" s="206">
        <f>'Per2'!$J$119</f>
        <v>0</v>
      </c>
      <c r="G155" s="206">
        <f>'Per3'!$J$119</f>
        <v>0</v>
      </c>
      <c r="H155" s="206">
        <f>'Per4'!$J$119</f>
        <v>0</v>
      </c>
      <c r="I155" s="206">
        <f>'Per5'!$J$119</f>
        <v>0</v>
      </c>
      <c r="J155" s="206">
        <f>'Per6'!$J$119</f>
        <v>0</v>
      </c>
      <c r="K155" s="206">
        <f>'Per7'!$J$119</f>
        <v>0</v>
      </c>
      <c r="L155" s="206">
        <f>'Per8'!$J$119</f>
        <v>0</v>
      </c>
      <c r="M155" s="206">
        <f>'Per9'!$J$119</f>
        <v>0</v>
      </c>
      <c r="N155" s="206">
        <f>'Per10'!$J$119</f>
        <v>0</v>
      </c>
      <c r="O155" s="180">
        <f t="shared" si="15"/>
        <v>0</v>
      </c>
    </row>
    <row r="156" spans="1:15" ht="14.1" hidden="1" customHeight="1" x14ac:dyDescent="0.2">
      <c r="A156" s="185" t="s">
        <v>278</v>
      </c>
      <c r="B156" s="186" t="s">
        <v>279</v>
      </c>
      <c r="C156" s="207"/>
      <c r="D156" s="208"/>
      <c r="E156" s="187">
        <f>'Per1'!$K$119</f>
        <v>0</v>
      </c>
      <c r="F156" s="187">
        <f>'Per2'!$K$119</f>
        <v>0</v>
      </c>
      <c r="G156" s="187">
        <f>'Per3'!$K$119</f>
        <v>0</v>
      </c>
      <c r="H156" s="187">
        <f>'Per4'!$K$119</f>
        <v>0</v>
      </c>
      <c r="I156" s="187">
        <f>'Per5'!$K$119</f>
        <v>0</v>
      </c>
      <c r="J156" s="187">
        <f>'Per6'!$K$119</f>
        <v>0</v>
      </c>
      <c r="K156" s="187">
        <f>'Per7'!$K$119</f>
        <v>0</v>
      </c>
      <c r="L156" s="187">
        <f>'Per8'!$K$119</f>
        <v>0</v>
      </c>
      <c r="M156" s="187">
        <f>'Per9'!$K$119</f>
        <v>0</v>
      </c>
      <c r="N156" s="187">
        <f>'Per10'!$K$119</f>
        <v>0</v>
      </c>
      <c r="O156" s="188">
        <f t="shared" si="15"/>
        <v>0</v>
      </c>
    </row>
    <row r="157" spans="1:15" ht="14.1" hidden="1" customHeight="1" x14ac:dyDescent="0.2">
      <c r="A157" s="185" t="s">
        <v>280</v>
      </c>
      <c r="B157" s="186" t="s">
        <v>281</v>
      </c>
      <c r="C157" s="207"/>
      <c r="D157" s="208"/>
      <c r="E157" s="187">
        <f>'Per1'!$L$119</f>
        <v>0</v>
      </c>
      <c r="F157" s="187">
        <f>'Per2'!$L$119</f>
        <v>0</v>
      </c>
      <c r="G157" s="187">
        <f>'Per3'!$L$119</f>
        <v>0</v>
      </c>
      <c r="H157" s="187">
        <f>'Per4'!$L$119</f>
        <v>0</v>
      </c>
      <c r="I157" s="187">
        <f>'Per5'!$L$119</f>
        <v>0</v>
      </c>
      <c r="J157" s="187">
        <f>'Per6'!$L$119</f>
        <v>0</v>
      </c>
      <c r="K157" s="187">
        <f>'Per7'!$L$119</f>
        <v>0</v>
      </c>
      <c r="L157" s="187">
        <f>'Per8'!$L$119</f>
        <v>0</v>
      </c>
      <c r="M157" s="187">
        <f>'Per9'!$L$119</f>
        <v>0</v>
      </c>
      <c r="N157" s="187">
        <f>'Per10'!$L$119</f>
        <v>0</v>
      </c>
      <c r="O157" s="188">
        <f t="shared" si="15"/>
        <v>0</v>
      </c>
    </row>
    <row r="158" spans="1:15" ht="14.1" hidden="1" customHeight="1" x14ac:dyDescent="0.2">
      <c r="A158" s="185" t="s">
        <v>282</v>
      </c>
      <c r="B158" s="186" t="s">
        <v>268</v>
      </c>
      <c r="C158" s="207"/>
      <c r="D158" s="208"/>
      <c r="E158" s="187">
        <f>'Per1'!$M$119</f>
        <v>0</v>
      </c>
      <c r="F158" s="187">
        <f>'Per2'!$M$119</f>
        <v>0</v>
      </c>
      <c r="G158" s="187">
        <f>'Per3'!$M$119</f>
        <v>0</v>
      </c>
      <c r="H158" s="187">
        <f>'Per4'!$M$119</f>
        <v>0</v>
      </c>
      <c r="I158" s="187">
        <f>'Per5'!$M$119</f>
        <v>0</v>
      </c>
      <c r="J158" s="187">
        <f>'Per6'!$M$119</f>
        <v>0</v>
      </c>
      <c r="K158" s="187">
        <f>'Per7'!$M$119</f>
        <v>0</v>
      </c>
      <c r="L158" s="187">
        <f>'Per8'!$M$119</f>
        <v>0</v>
      </c>
      <c r="M158" s="187">
        <f>'Per9'!$M$119</f>
        <v>0</v>
      </c>
      <c r="N158" s="187">
        <f>'Per10'!$M$119</f>
        <v>0</v>
      </c>
      <c r="O158" s="188">
        <f t="shared" si="15"/>
        <v>0</v>
      </c>
    </row>
    <row r="159" spans="1:15" ht="14.1" hidden="1" customHeight="1" x14ac:dyDescent="0.2">
      <c r="A159" s="204"/>
      <c r="B159" s="205"/>
      <c r="C159" s="579">
        <f>'Per1'!C120</f>
        <v>0</v>
      </c>
      <c r="D159" s="580"/>
      <c r="E159" s="206">
        <f>'Per1'!$J$120</f>
        <v>0</v>
      </c>
      <c r="F159" s="206">
        <f>'Per2'!$J$120</f>
        <v>0</v>
      </c>
      <c r="G159" s="206">
        <f>'Per3'!$J$120</f>
        <v>0</v>
      </c>
      <c r="H159" s="206">
        <f>'Per4'!$J$120</f>
        <v>0</v>
      </c>
      <c r="I159" s="206">
        <f>'Per5'!$J$120</f>
        <v>0</v>
      </c>
      <c r="J159" s="206">
        <f>'Per6'!$J$120</f>
        <v>0</v>
      </c>
      <c r="K159" s="206">
        <f>'Per7'!$J$120</f>
        <v>0</v>
      </c>
      <c r="L159" s="206">
        <f>'Per8'!$J$120</f>
        <v>0</v>
      </c>
      <c r="M159" s="206">
        <f>'Per9'!$J$120</f>
        <v>0</v>
      </c>
      <c r="N159" s="206">
        <f>'Per10'!$J$120</f>
        <v>0</v>
      </c>
      <c r="O159" s="180">
        <f t="shared" si="15"/>
        <v>0</v>
      </c>
    </row>
    <row r="160" spans="1:15" ht="14.1" hidden="1" customHeight="1" x14ac:dyDescent="0.2">
      <c r="A160" s="185" t="s">
        <v>278</v>
      </c>
      <c r="B160" s="186" t="s">
        <v>279</v>
      </c>
      <c r="C160" s="207"/>
      <c r="D160" s="208"/>
      <c r="E160" s="187">
        <f>'Per1'!$K$120</f>
        <v>0</v>
      </c>
      <c r="F160" s="187">
        <f>'Per2'!$K$120</f>
        <v>0</v>
      </c>
      <c r="G160" s="187">
        <f>'Per3'!$K$120</f>
        <v>0</v>
      </c>
      <c r="H160" s="187">
        <f>'Per4'!$K$120</f>
        <v>0</v>
      </c>
      <c r="I160" s="187">
        <f>'Per5'!$K$120</f>
        <v>0</v>
      </c>
      <c r="J160" s="187">
        <f>'Per6'!$K$120</f>
        <v>0</v>
      </c>
      <c r="K160" s="187">
        <f>'Per7'!$K$120</f>
        <v>0</v>
      </c>
      <c r="L160" s="187">
        <f>'Per8'!$K$120</f>
        <v>0</v>
      </c>
      <c r="M160" s="187">
        <f>'Per9'!$K$120</f>
        <v>0</v>
      </c>
      <c r="N160" s="187">
        <f>'Per10'!$K$120</f>
        <v>0</v>
      </c>
      <c r="O160" s="188">
        <f t="shared" si="15"/>
        <v>0</v>
      </c>
    </row>
    <row r="161" spans="1:15" ht="14.1" hidden="1" customHeight="1" x14ac:dyDescent="0.2">
      <c r="A161" s="185" t="s">
        <v>280</v>
      </c>
      <c r="B161" s="186" t="s">
        <v>281</v>
      </c>
      <c r="C161" s="207"/>
      <c r="D161" s="208"/>
      <c r="E161" s="187">
        <f>'Per1'!$L$120</f>
        <v>0</v>
      </c>
      <c r="F161" s="187">
        <f>'Per2'!$L$120</f>
        <v>0</v>
      </c>
      <c r="G161" s="187">
        <f>'Per3'!$L$120</f>
        <v>0</v>
      </c>
      <c r="H161" s="187">
        <f>'Per4'!$L$120</f>
        <v>0</v>
      </c>
      <c r="I161" s="187">
        <f>'Per5'!$L$120</f>
        <v>0</v>
      </c>
      <c r="J161" s="187">
        <f>'Per6'!$L$120</f>
        <v>0</v>
      </c>
      <c r="K161" s="187">
        <f>'Per7'!$L$120</f>
        <v>0</v>
      </c>
      <c r="L161" s="187">
        <f>'Per8'!$L$120</f>
        <v>0</v>
      </c>
      <c r="M161" s="187">
        <f>'Per9'!$L$120</f>
        <v>0</v>
      </c>
      <c r="N161" s="187">
        <f>'Per10'!$L$120</f>
        <v>0</v>
      </c>
      <c r="O161" s="188">
        <f t="shared" si="15"/>
        <v>0</v>
      </c>
    </row>
    <row r="162" spans="1:15" ht="14.1" hidden="1" customHeight="1" x14ac:dyDescent="0.2">
      <c r="A162" s="185" t="s">
        <v>282</v>
      </c>
      <c r="B162" s="186" t="s">
        <v>268</v>
      </c>
      <c r="C162" s="207"/>
      <c r="D162" s="208"/>
      <c r="E162" s="188">
        <f>'Per1'!$M$120</f>
        <v>0</v>
      </c>
      <c r="F162" s="188">
        <f>'Per2'!$M$120</f>
        <v>0</v>
      </c>
      <c r="G162" s="188">
        <f>'Per3'!$M$120</f>
        <v>0</v>
      </c>
      <c r="H162" s="188">
        <f>'Per4'!$M$120</f>
        <v>0</v>
      </c>
      <c r="I162" s="188">
        <f>'Per5'!$M$120</f>
        <v>0</v>
      </c>
      <c r="J162" s="188">
        <f>'Per6'!$M$120</f>
        <v>0</v>
      </c>
      <c r="K162" s="188">
        <f>'Per7'!$M$120</f>
        <v>0</v>
      </c>
      <c r="L162" s="188">
        <f>'Per8'!$M$120</f>
        <v>0</v>
      </c>
      <c r="M162" s="188">
        <f>'Per9'!$M$120</f>
        <v>0</v>
      </c>
      <c r="N162" s="188">
        <f>'Per10'!$M$120</f>
        <v>0</v>
      </c>
      <c r="O162" s="188">
        <f t="shared" si="15"/>
        <v>0</v>
      </c>
    </row>
    <row r="163" spans="1:15" hidden="1" x14ac:dyDescent="0.2">
      <c r="E163" s="170" t="s">
        <v>63</v>
      </c>
      <c r="F163" s="170" t="s">
        <v>197</v>
      </c>
      <c r="G163" s="170" t="s">
        <v>200</v>
      </c>
      <c r="H163" s="170" t="s">
        <v>202</v>
      </c>
      <c r="I163" s="170" t="s">
        <v>203</v>
      </c>
      <c r="J163" s="170" t="s">
        <v>204</v>
      </c>
      <c r="K163" s="170" t="s">
        <v>207</v>
      </c>
      <c r="L163" s="170" t="s">
        <v>208</v>
      </c>
      <c r="M163" s="170" t="s">
        <v>209</v>
      </c>
      <c r="N163" s="170" t="s">
        <v>210</v>
      </c>
      <c r="O163" s="170" t="s">
        <v>213</v>
      </c>
    </row>
  </sheetData>
  <sheetProtection algorithmName="SHA-512" hashValue="FzVqmTvF71wSXSWHeYtaERpbwZ/w7JEl5tRHjZQqFLhPZO2UBxvAPj6jDMmsuiFL3aQWa+9+D+AxxLKiTngLDA==" saltValue="ZGGIMhbGINNgqQiHo6BOkg==" spinCount="100000" sheet="1" formatColumns="0" insertColumns="0" insertRows="0" deleteRows="0"/>
  <mergeCells count="86">
    <mergeCell ref="H3:H4"/>
    <mergeCell ref="J3:N9"/>
    <mergeCell ref="C51:D51"/>
    <mergeCell ref="C52:D52"/>
    <mergeCell ref="C53:D53"/>
    <mergeCell ref="C46:D46"/>
    <mergeCell ref="C47:D47"/>
    <mergeCell ref="C48:D48"/>
    <mergeCell ref="C49:D49"/>
    <mergeCell ref="C50:D50"/>
    <mergeCell ref="C26:D26"/>
    <mergeCell ref="C27:D27"/>
    <mergeCell ref="A45:C45"/>
    <mergeCell ref="A7:B9"/>
    <mergeCell ref="C3:G4"/>
    <mergeCell ref="C5:G6"/>
    <mergeCell ref="C22:D22"/>
    <mergeCell ref="C15:D15"/>
    <mergeCell ref="C16:D16"/>
    <mergeCell ref="C18:D18"/>
    <mergeCell ref="C19:D19"/>
    <mergeCell ref="C21:D21"/>
    <mergeCell ref="C55:D55"/>
    <mergeCell ref="A1:O1"/>
    <mergeCell ref="A2:O2"/>
    <mergeCell ref="A14:C14"/>
    <mergeCell ref="A40:C40"/>
    <mergeCell ref="A24:C24"/>
    <mergeCell ref="A20:C20"/>
    <mergeCell ref="A17:C17"/>
    <mergeCell ref="A3:B4"/>
    <mergeCell ref="A5:B6"/>
    <mergeCell ref="C34:D34"/>
    <mergeCell ref="C38:D38"/>
    <mergeCell ref="C30:D30"/>
    <mergeCell ref="C32:D32"/>
    <mergeCell ref="C35:D35"/>
    <mergeCell ref="C7:G9"/>
    <mergeCell ref="C123:D123"/>
    <mergeCell ref="C23:D23"/>
    <mergeCell ref="C25:D25"/>
    <mergeCell ref="C39:D39"/>
    <mergeCell ref="C28:D28"/>
    <mergeCell ref="C83:D83"/>
    <mergeCell ref="A70:C70"/>
    <mergeCell ref="C71:D71"/>
    <mergeCell ref="C41:D41"/>
    <mergeCell ref="C42:D42"/>
    <mergeCell ref="C43:D43"/>
    <mergeCell ref="C44:D44"/>
    <mergeCell ref="C36:D36"/>
    <mergeCell ref="C37:D37"/>
    <mergeCell ref="C56:D56"/>
    <mergeCell ref="C54:D54"/>
    <mergeCell ref="C159:D159"/>
    <mergeCell ref="C57:D57"/>
    <mergeCell ref="C58:D58"/>
    <mergeCell ref="C59:D59"/>
    <mergeCell ref="C60:D60"/>
    <mergeCell ref="C61:D61"/>
    <mergeCell ref="A77:I77"/>
    <mergeCell ref="C62:D62"/>
    <mergeCell ref="C63:D63"/>
    <mergeCell ref="C64:D64"/>
    <mergeCell ref="C65:D65"/>
    <mergeCell ref="A75:C75"/>
    <mergeCell ref="A66:C66"/>
    <mergeCell ref="C127:D127"/>
    <mergeCell ref="C131:D131"/>
    <mergeCell ref="C135:D135"/>
    <mergeCell ref="C31:D31"/>
    <mergeCell ref="C33:D33"/>
    <mergeCell ref="C147:D147"/>
    <mergeCell ref="C151:D151"/>
    <mergeCell ref="C155:D155"/>
    <mergeCell ref="C139:D139"/>
    <mergeCell ref="C87:D87"/>
    <mergeCell ref="C91:D91"/>
    <mergeCell ref="C95:D95"/>
    <mergeCell ref="C99:D99"/>
    <mergeCell ref="C103:D103"/>
    <mergeCell ref="C143:D143"/>
    <mergeCell ref="C107:D107"/>
    <mergeCell ref="C111:D111"/>
    <mergeCell ref="C115:D115"/>
    <mergeCell ref="C119:D119"/>
  </mergeCells>
  <pageMargins left="0.25" right="0.25" top="0.5" bottom="0.5" header="0" footer="0"/>
  <pageSetup scale="7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50CD9-2FDB-482C-9BFA-5D1188FE8417}">
  <sheetPr>
    <tabColor theme="1"/>
    <pageSetUpPr fitToPage="1"/>
  </sheetPr>
  <dimension ref="A1:B68"/>
  <sheetViews>
    <sheetView topLeftCell="A46" workbookViewId="0">
      <selection activeCell="L69" sqref="L69"/>
    </sheetView>
  </sheetViews>
  <sheetFormatPr defaultColWidth="8.7109375" defaultRowHeight="15" x14ac:dyDescent="0.25"/>
  <cols>
    <col min="1" max="16384" width="8.7109375" style="105"/>
  </cols>
  <sheetData>
    <row r="1" spans="1:1" x14ac:dyDescent="0.25">
      <c r="A1" s="262" t="s">
        <v>283</v>
      </c>
    </row>
    <row r="2" spans="1:1" ht="21" x14ac:dyDescent="0.35">
      <c r="A2" s="104" t="s">
        <v>284</v>
      </c>
    </row>
    <row r="3" spans="1:1" x14ac:dyDescent="0.25">
      <c r="A3" s="262" t="s">
        <v>285</v>
      </c>
    </row>
    <row r="8" spans="1:1" hidden="1" x14ac:dyDescent="0.25"/>
    <row r="9" spans="1:1" hidden="1" x14ac:dyDescent="0.25"/>
    <row r="23" spans="1:1" x14ac:dyDescent="0.25">
      <c r="A23" s="262" t="s">
        <v>286</v>
      </c>
    </row>
    <row r="30" spans="1:1" ht="21" x14ac:dyDescent="0.35">
      <c r="A30" s="104" t="s">
        <v>287</v>
      </c>
    </row>
    <row r="31" spans="1:1" x14ac:dyDescent="0.25">
      <c r="A31" s="262" t="s">
        <v>285</v>
      </c>
    </row>
    <row r="37" spans="1:2" ht="21" x14ac:dyDescent="0.35">
      <c r="A37" s="104"/>
    </row>
    <row r="39" spans="1:2" x14ac:dyDescent="0.25">
      <c r="B39" s="262"/>
    </row>
    <row r="43" spans="1:2" ht="21" x14ac:dyDescent="0.35">
      <c r="A43" s="104"/>
    </row>
    <row r="48" spans="1:2" x14ac:dyDescent="0.25">
      <c r="A48" s="262" t="s">
        <v>288</v>
      </c>
    </row>
    <row r="49" spans="1:2" ht="21" x14ac:dyDescent="0.35">
      <c r="A49" s="104"/>
      <c r="B49" s="262" t="s">
        <v>289</v>
      </c>
    </row>
    <row r="50" spans="1:2" x14ac:dyDescent="0.25">
      <c r="B50" s="262" t="s">
        <v>290</v>
      </c>
    </row>
    <row r="51" spans="1:2" x14ac:dyDescent="0.25">
      <c r="B51" s="262" t="s">
        <v>291</v>
      </c>
    </row>
    <row r="52" spans="1:2" x14ac:dyDescent="0.25">
      <c r="B52" s="262" t="s">
        <v>292</v>
      </c>
    </row>
    <row r="53" spans="1:2" x14ac:dyDescent="0.25">
      <c r="B53" s="262" t="s">
        <v>293</v>
      </c>
    </row>
    <row r="54" spans="1:2" x14ac:dyDescent="0.25">
      <c r="B54" s="262" t="s">
        <v>294</v>
      </c>
    </row>
    <row r="60" spans="1:2" x14ac:dyDescent="0.25">
      <c r="A60" s="262" t="s">
        <v>295</v>
      </c>
    </row>
    <row r="68" spans="1:1" x14ac:dyDescent="0.25">
      <c r="A68" s="262" t="s">
        <v>296</v>
      </c>
    </row>
  </sheetData>
  <pageMargins left="0.25" right="0.25" top="0.5" bottom="0.5" header="0" footer="0"/>
  <pageSetup scale="8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105"/>
  <sheetViews>
    <sheetView zoomScale="85" zoomScaleNormal="85" zoomScalePageLayoutView="85" workbookViewId="0">
      <selection activeCell="M28" sqref="M28"/>
    </sheetView>
  </sheetViews>
  <sheetFormatPr defaultColWidth="9.28515625" defaultRowHeight="15" x14ac:dyDescent="0.25"/>
  <cols>
    <col min="1" max="1" width="6.7109375" style="38" customWidth="1"/>
    <col min="2" max="2" width="27" style="38" customWidth="1"/>
    <col min="3" max="3" width="2.7109375" style="38" customWidth="1"/>
    <col min="4" max="4" width="16.42578125" style="38" customWidth="1"/>
    <col min="5" max="5" width="2.7109375" style="38" customWidth="1"/>
    <col min="6" max="6" width="7.7109375" style="38" customWidth="1"/>
    <col min="7" max="7" width="7" style="38" customWidth="1"/>
    <col min="8" max="8" width="2.7109375" style="38" customWidth="1"/>
    <col min="9" max="9" width="10.28515625" style="38" customWidth="1"/>
    <col min="10" max="10" width="2.7109375" style="38" customWidth="1"/>
    <col min="11" max="11" width="14.7109375" style="38" customWidth="1"/>
    <col min="12" max="16" width="9.28515625" style="38"/>
    <col min="17" max="18" width="9.28515625" style="38" hidden="1" customWidth="1"/>
    <col min="19" max="16384" width="9.28515625" style="38"/>
  </cols>
  <sheetData>
    <row r="1" spans="1:18" x14ac:dyDescent="0.25">
      <c r="A1" s="37"/>
      <c r="B1" s="37" t="s">
        <v>297</v>
      </c>
      <c r="C1" s="623"/>
      <c r="D1" s="623"/>
      <c r="E1" s="623"/>
      <c r="F1" s="37"/>
      <c r="G1" s="37"/>
      <c r="H1" s="37"/>
      <c r="I1" s="624"/>
      <c r="J1" s="624"/>
      <c r="K1" s="624"/>
      <c r="Q1" s="38">
        <v>1</v>
      </c>
      <c r="R1" s="38">
        <v>1</v>
      </c>
    </row>
    <row r="2" spans="1:18" x14ac:dyDescent="0.25">
      <c r="A2" s="37"/>
      <c r="B2" s="37" t="s">
        <v>298</v>
      </c>
      <c r="C2" s="623"/>
      <c r="D2" s="623"/>
      <c r="E2" s="623"/>
      <c r="Q2" s="38">
        <v>2</v>
      </c>
      <c r="R2" s="38">
        <v>2</v>
      </c>
    </row>
    <row r="3" spans="1:18" x14ac:dyDescent="0.25">
      <c r="Q3" s="38">
        <v>3</v>
      </c>
      <c r="R3" s="38">
        <v>3</v>
      </c>
    </row>
    <row r="4" spans="1:18" ht="21" x14ac:dyDescent="0.35">
      <c r="A4" s="39" t="s">
        <v>299</v>
      </c>
      <c r="Q4" s="38">
        <v>4</v>
      </c>
      <c r="R4" s="38">
        <v>4</v>
      </c>
    </row>
    <row r="5" spans="1:18" x14ac:dyDescent="0.25">
      <c r="Q5" s="38">
        <v>5</v>
      </c>
      <c r="R5" s="38">
        <v>5</v>
      </c>
    </row>
    <row r="6" spans="1:18" x14ac:dyDescent="0.25">
      <c r="I6" s="40" t="s">
        <v>300</v>
      </c>
      <c r="K6" s="40" t="s">
        <v>301</v>
      </c>
      <c r="Q6" s="263">
        <v>6</v>
      </c>
      <c r="R6" s="38">
        <v>6</v>
      </c>
    </row>
    <row r="7" spans="1:18" x14ac:dyDescent="0.25">
      <c r="B7" s="37" t="s">
        <v>302</v>
      </c>
      <c r="D7" s="62" t="s">
        <v>213</v>
      </c>
      <c r="F7" s="625" t="s">
        <v>303</v>
      </c>
      <c r="G7" s="625"/>
      <c r="I7" s="69">
        <f>INDEX(Summary!A1:O163,12,VLOOKUP($D$7,$Q$1:$R$11,2)+4)</f>
        <v>45536</v>
      </c>
      <c r="J7" s="70"/>
      <c r="K7" s="69">
        <f>INDEX(Summary!A1:O163,13,VLOOKUP($D$7,$Q$1:$R$11,2)+4)</f>
        <v>49187</v>
      </c>
      <c r="Q7" s="38">
        <v>7</v>
      </c>
      <c r="R7" s="38">
        <v>7</v>
      </c>
    </row>
    <row r="8" spans="1:18" x14ac:dyDescent="0.25">
      <c r="B8" s="37"/>
      <c r="D8" s="41"/>
      <c r="F8" s="42"/>
      <c r="G8" s="42"/>
      <c r="I8" s="43"/>
      <c r="K8" s="43"/>
      <c r="Q8" s="38">
        <v>8</v>
      </c>
      <c r="R8" s="38">
        <v>8</v>
      </c>
    </row>
    <row r="9" spans="1:18" x14ac:dyDescent="0.25">
      <c r="Q9" s="38">
        <v>9</v>
      </c>
      <c r="R9" s="38">
        <v>9</v>
      </c>
    </row>
    <row r="10" spans="1:18" ht="46.5" customHeight="1" x14ac:dyDescent="0.25">
      <c r="A10" s="626" t="s">
        <v>304</v>
      </c>
      <c r="B10" s="626"/>
      <c r="C10" s="626"/>
      <c r="D10" s="626"/>
      <c r="Q10" s="38">
        <v>10</v>
      </c>
      <c r="R10" s="38">
        <v>10</v>
      </c>
    </row>
    <row r="11" spans="1:18" x14ac:dyDescent="0.25">
      <c r="A11" s="44"/>
      <c r="Q11" s="263" t="s">
        <v>213</v>
      </c>
      <c r="R11" s="38">
        <v>11</v>
      </c>
    </row>
    <row r="12" spans="1:18" x14ac:dyDescent="0.25">
      <c r="B12" s="71" t="s">
        <v>305</v>
      </c>
      <c r="D12" s="72">
        <f>SUM(D18:D34,D38:D39,D42,K18:K20,K24:K26,K30:K32,K36:K38,K42:K44,D49:D51,K49:K51,D55:D57,K55:K57,D61:D63,K61:K63,K67:K69,D67:D69,D73:D75,K73:K75,D79:D81,K79:K81,D85:D87,K85:K87,D91:D93)</f>
        <v>0</v>
      </c>
      <c r="Q12" s="263"/>
    </row>
    <row r="13" spans="1:18" x14ac:dyDescent="0.25">
      <c r="B13" s="71"/>
      <c r="D13" s="72"/>
      <c r="Q13" s="263"/>
    </row>
    <row r="14" spans="1:18" x14ac:dyDescent="0.25">
      <c r="A14" s="42"/>
      <c r="D14" s="40" t="s">
        <v>306</v>
      </c>
      <c r="K14" s="40" t="s">
        <v>306</v>
      </c>
    </row>
    <row r="15" spans="1:18" x14ac:dyDescent="0.25">
      <c r="A15" s="44"/>
      <c r="O15" s="46"/>
    </row>
    <row r="16" spans="1:18" x14ac:dyDescent="0.25">
      <c r="A16" s="93"/>
      <c r="B16" s="264" t="s">
        <v>307</v>
      </c>
      <c r="C16" s="63"/>
      <c r="D16" s="90"/>
      <c r="G16" s="73"/>
      <c r="H16" s="63"/>
      <c r="I16" s="77" t="s">
        <v>307</v>
      </c>
      <c r="J16" s="63"/>
      <c r="K16" s="80"/>
    </row>
    <row r="17" spans="1:11" x14ac:dyDescent="0.25">
      <c r="A17" s="94"/>
      <c r="B17" s="265"/>
      <c r="D17" s="80"/>
      <c r="G17" s="621">
        <f>'Per1'!C101</f>
        <v>0</v>
      </c>
      <c r="H17" s="617"/>
      <c r="I17" s="617"/>
      <c r="J17" s="617"/>
      <c r="K17" s="622"/>
    </row>
    <row r="18" spans="1:11" x14ac:dyDescent="0.25">
      <c r="A18" s="74" t="s">
        <v>308</v>
      </c>
      <c r="B18" s="38" t="s">
        <v>309</v>
      </c>
      <c r="D18" s="75">
        <f>INDEX(Summary!A1:O163,15,VLOOKUP($D$7,$Q$1:$R$11,2)+4)</f>
        <v>0</v>
      </c>
      <c r="G18" s="74" t="s">
        <v>278</v>
      </c>
      <c r="H18" s="620" t="s">
        <v>310</v>
      </c>
      <c r="I18" s="620"/>
      <c r="K18" s="75" t="str">
        <f>INDEX(Summary!A1:O163,82,VLOOKUP($D$7,$Q$1:$R$11,2)+4)</f>
        <v>All</v>
      </c>
    </row>
    <row r="19" spans="1:11" x14ac:dyDescent="0.25">
      <c r="A19" s="74" t="s">
        <v>311</v>
      </c>
      <c r="B19" s="38" t="s">
        <v>312</v>
      </c>
      <c r="D19" s="75">
        <f>INDEX(Summary!A1:O163,16,VLOOKUP($D$7,$Q$1:$R$11,2)+4)</f>
        <v>0</v>
      </c>
      <c r="G19" s="74" t="s">
        <v>280</v>
      </c>
      <c r="H19" s="616" t="s">
        <v>313</v>
      </c>
      <c r="I19" s="616"/>
      <c r="K19" s="75">
        <f>INDEX(Summary!A1:O163,83,VLOOKUP($D$7,$Q$1:$R$11,2)+4)</f>
        <v>0</v>
      </c>
    </row>
    <row r="20" spans="1:11" x14ac:dyDescent="0.25">
      <c r="A20" s="74" t="s">
        <v>314</v>
      </c>
      <c r="B20" s="38" t="s">
        <v>315</v>
      </c>
      <c r="D20" s="75">
        <f>INDEX(Summary!A1:O163,18,VLOOKUP($D$7,$Q$1:$R$11,2)+4)</f>
        <v>0</v>
      </c>
      <c r="G20" s="76" t="s">
        <v>282</v>
      </c>
      <c r="H20" s="615" t="s">
        <v>316</v>
      </c>
      <c r="I20" s="615"/>
      <c r="J20" s="48"/>
      <c r="K20" s="75">
        <f>INDEX(Summary!A1:O163,84,VLOOKUP($D$7,$Q$1:$R$11,2)+4)</f>
        <v>0</v>
      </c>
    </row>
    <row r="21" spans="1:11" x14ac:dyDescent="0.25">
      <c r="A21" s="74" t="s">
        <v>317</v>
      </c>
      <c r="B21" s="38" t="s">
        <v>318</v>
      </c>
      <c r="D21" s="75">
        <f>INDEX(Summary!A1:O163,19,VLOOKUP($D$7,$Q$1:$R$11,2)+4)</f>
        <v>0</v>
      </c>
      <c r="K21" s="64"/>
    </row>
    <row r="22" spans="1:11" x14ac:dyDescent="0.25">
      <c r="A22" s="74" t="s">
        <v>319</v>
      </c>
      <c r="B22" s="38" t="s">
        <v>320</v>
      </c>
      <c r="D22" s="75">
        <f>INDEX(Summary!A1:O163,21,VLOOKUP($D$7,$Q$1:$R$11,2)+4)</f>
        <v>0</v>
      </c>
      <c r="G22" s="73"/>
      <c r="H22" s="63"/>
      <c r="I22" s="77" t="s">
        <v>307</v>
      </c>
      <c r="J22" s="68"/>
      <c r="K22" s="78"/>
    </row>
    <row r="23" spans="1:11" x14ac:dyDescent="0.25">
      <c r="A23" s="74" t="s">
        <v>321</v>
      </c>
      <c r="B23" s="38" t="s">
        <v>322</v>
      </c>
      <c r="D23" s="75">
        <f>INDEX(Summary!A1:O163,22,VLOOKUP($D$7,$Q$1:$R$11,2)+4)</f>
        <v>0</v>
      </c>
      <c r="G23" s="621">
        <f>'Per1'!C102</f>
        <v>0</v>
      </c>
      <c r="H23" s="617"/>
      <c r="I23" s="617"/>
      <c r="J23" s="617"/>
      <c r="K23" s="622"/>
    </row>
    <row r="24" spans="1:11" x14ac:dyDescent="0.25">
      <c r="A24" s="74" t="s">
        <v>323</v>
      </c>
      <c r="B24" s="38" t="s">
        <v>324</v>
      </c>
      <c r="D24" s="75">
        <f>INDEX(Summary!A1:O163,23,VLOOKUP($D$7,$Q$1:$R$11,2)+4)</f>
        <v>0</v>
      </c>
      <c r="G24" s="74" t="s">
        <v>278</v>
      </c>
      <c r="H24" s="616" t="s">
        <v>310</v>
      </c>
      <c r="I24" s="616"/>
      <c r="K24" s="75">
        <f>INDEX(Summary!A1:O163,86,VLOOKUP($D$7,$Q$1:$R$11,2)+4)</f>
        <v>0</v>
      </c>
    </row>
    <row r="25" spans="1:11" x14ac:dyDescent="0.25">
      <c r="A25" s="74" t="s">
        <v>325</v>
      </c>
      <c r="B25" s="263" t="s">
        <v>326</v>
      </c>
      <c r="D25" s="75">
        <f>INDEX(Summary!A1:O163,25,VLOOKUP($D$7,$Q$1:$R$11,2)+4)</f>
        <v>0</v>
      </c>
      <c r="G25" s="74" t="s">
        <v>280</v>
      </c>
      <c r="H25" s="616" t="s">
        <v>313</v>
      </c>
      <c r="I25" s="616"/>
      <c r="K25" s="75">
        <f>INDEX(Summary!A1:O163,87,VLOOKUP($D$7,$Q$1:$R$11,2)+4)</f>
        <v>0</v>
      </c>
    </row>
    <row r="26" spans="1:11" x14ac:dyDescent="0.25">
      <c r="A26" s="74" t="s">
        <v>327</v>
      </c>
      <c r="B26" s="38" t="s">
        <v>328</v>
      </c>
      <c r="D26" s="75">
        <f>INDEX(Summary!A1:O163,26,VLOOKUP($D$7,$Q$1:$R$11,2)+4)</f>
        <v>0</v>
      </c>
      <c r="G26" s="76" t="s">
        <v>282</v>
      </c>
      <c r="H26" s="615" t="s">
        <v>316</v>
      </c>
      <c r="I26" s="615"/>
      <c r="J26" s="48"/>
      <c r="K26" s="75">
        <f>INDEX(Summary!A1:O163,88,VLOOKUP($D$7,$Q$1:$R$11,2)+4)</f>
        <v>0</v>
      </c>
    </row>
    <row r="27" spans="1:11" x14ac:dyDescent="0.25">
      <c r="A27" s="74" t="s">
        <v>329</v>
      </c>
      <c r="B27" s="263" t="s">
        <v>330</v>
      </c>
      <c r="D27" s="75">
        <f>INDEX(Summary!A1:O163,27,VLOOKUP($D$7,$Q$1:$R$11,2)+4)</f>
        <v>0</v>
      </c>
      <c r="K27" s="64"/>
    </row>
    <row r="28" spans="1:11" x14ac:dyDescent="0.25">
      <c r="A28" s="74" t="s">
        <v>331</v>
      </c>
      <c r="B28" s="38" t="s">
        <v>332</v>
      </c>
      <c r="D28" s="75">
        <f>INDEX(Summary!A1:O163,28,VLOOKUP($D$7,$Q$1:$R$11,2)+4)+INDEX(Summary!A1:O163,29,VLOOKUP($D$7,$Q$1:$R$11,2)+4)+INDEX(Summary!A1:O163,30,VLOOKUP($D$7,$Q$1:$R$11,2)+4)+INDEX(Summary!A1:O163,31,VLOOKUP($D$7,$Q$1:$R$11,2)+4)+INDEX(Summary!A1:O163,34,VLOOKUP($D$7,$Q$1:$R$11,2)+4)+INDEX(Summary!A1:O163,35,VLOOKUP($D$7,$Q$1:$R$11,2)+4)</f>
        <v>0</v>
      </c>
      <c r="G28" s="73"/>
      <c r="H28" s="63"/>
      <c r="I28" s="77" t="s">
        <v>307</v>
      </c>
      <c r="J28" s="68"/>
      <c r="K28" s="78"/>
    </row>
    <row r="29" spans="1:11" x14ac:dyDescent="0.25">
      <c r="A29" s="74" t="s">
        <v>333</v>
      </c>
      <c r="B29" s="38" t="s">
        <v>334</v>
      </c>
      <c r="D29" s="75">
        <f>INDEX(Summary!A1:O163,36,VLOOKUP($D$7,$Q$1:$R$11,2)+4)</f>
        <v>0</v>
      </c>
      <c r="G29" s="621">
        <f>'Per1'!C103</f>
        <v>0</v>
      </c>
      <c r="H29" s="617"/>
      <c r="I29" s="617"/>
      <c r="J29" s="617"/>
      <c r="K29" s="622"/>
    </row>
    <row r="30" spans="1:11" x14ac:dyDescent="0.25">
      <c r="A30" s="74" t="s">
        <v>335</v>
      </c>
      <c r="B30" s="38" t="s">
        <v>336</v>
      </c>
      <c r="D30" s="75">
        <f>INDEX(Summary!A1:O163,37,VLOOKUP($D$7,$Q$1:$R$11,2)+4)</f>
        <v>0</v>
      </c>
      <c r="G30" s="74" t="s">
        <v>278</v>
      </c>
      <c r="H30" s="616" t="s">
        <v>310</v>
      </c>
      <c r="I30" s="616"/>
      <c r="K30" s="75">
        <f>INDEX(Summary!A1:O163,90,VLOOKUP($D$7,$Q$1:$R$11,2)+4)</f>
        <v>0</v>
      </c>
    </row>
    <row r="31" spans="1:11" x14ac:dyDescent="0.25">
      <c r="A31" s="74" t="s">
        <v>337</v>
      </c>
      <c r="B31" s="38" t="s">
        <v>338</v>
      </c>
      <c r="D31" s="75">
        <f>INDEX(Summary!A1:O163,40,VLOOKUP($D$7,$Q$1:$R$11,2)+4)+INDEX(Summary!A1:O163,41,VLOOKUP($D$7,$Q$1:$R$11,2)+4)</f>
        <v>0</v>
      </c>
      <c r="G31" s="74" t="s">
        <v>280</v>
      </c>
      <c r="H31" s="616" t="s">
        <v>313</v>
      </c>
      <c r="I31" s="616"/>
      <c r="K31" s="75">
        <f>INDEX(Summary!A1:O163,91,VLOOKUP($D$7,$Q$1:$R$11,2)+4)</f>
        <v>0</v>
      </c>
    </row>
    <row r="32" spans="1:11" x14ac:dyDescent="0.25">
      <c r="A32" s="74" t="s">
        <v>339</v>
      </c>
      <c r="B32" s="38" t="s">
        <v>340</v>
      </c>
      <c r="D32" s="75">
        <f>INDEX(Summary!A1:O163,42,VLOOKUP($D$7,$Q$1:$R$11,2)+4)</f>
        <v>0</v>
      </c>
      <c r="G32" s="76" t="s">
        <v>282</v>
      </c>
      <c r="H32" s="615" t="s">
        <v>316</v>
      </c>
      <c r="I32" s="615"/>
      <c r="J32" s="48"/>
      <c r="K32" s="75">
        <f>INDEX(Summary!A1:O163,92,VLOOKUP($D$7,$Q$1:$R$11,2)+4)</f>
        <v>0</v>
      </c>
    </row>
    <row r="33" spans="1:13" x14ac:dyDescent="0.25">
      <c r="A33" s="74" t="s">
        <v>341</v>
      </c>
      <c r="B33" s="38" t="s">
        <v>342</v>
      </c>
      <c r="D33" s="75">
        <f>INDEX(Summary!A1:O163,43,VLOOKUP($D$7,$Q$1:$R$11,2)+4)+INDEX(Summary!A1:O163,38,VLOOKUP($D$7,$Q$1:$R$11,2)+4)</f>
        <v>0</v>
      </c>
      <c r="K33" s="64"/>
    </row>
    <row r="34" spans="1:13" x14ac:dyDescent="0.25">
      <c r="A34" s="76" t="s">
        <v>282</v>
      </c>
      <c r="B34" s="266" t="s">
        <v>316</v>
      </c>
      <c r="C34" s="48"/>
      <c r="D34" s="75">
        <f>INDEX(Summary!A1:O163,67,VLOOKUP($D$7,$Q$1:$R$11,2)+4)-D39-K20-K26-K32-K38-K44-D51-K51-D57-K57-D63-K63-D69-K69-D75-K75-D81-K81-D87-K87-D93</f>
        <v>0</v>
      </c>
      <c r="G34" s="73"/>
      <c r="H34" s="63"/>
      <c r="I34" s="77" t="s">
        <v>307</v>
      </c>
      <c r="J34" s="68"/>
      <c r="K34" s="78"/>
    </row>
    <row r="35" spans="1:13" x14ac:dyDescent="0.25">
      <c r="B35" s="45"/>
      <c r="C35" s="45"/>
      <c r="G35" s="621">
        <f>'Per1'!C104</f>
        <v>0</v>
      </c>
      <c r="H35" s="617"/>
      <c r="I35" s="617"/>
      <c r="J35" s="617"/>
      <c r="K35" s="622"/>
    </row>
    <row r="36" spans="1:13" x14ac:dyDescent="0.25">
      <c r="G36" s="74" t="s">
        <v>278</v>
      </c>
      <c r="H36" s="616" t="s">
        <v>310</v>
      </c>
      <c r="I36" s="616"/>
      <c r="K36" s="75">
        <f>INDEX(Summary!A1:O163,94,VLOOKUP($D$7,$Q$1:$R$11,2)+4)</f>
        <v>0</v>
      </c>
    </row>
    <row r="37" spans="1:13" x14ac:dyDescent="0.25">
      <c r="A37" s="81"/>
      <c r="B37" s="267" t="s">
        <v>307</v>
      </c>
      <c r="C37" s="82"/>
      <c r="D37" s="83"/>
      <c r="G37" s="74" t="s">
        <v>280</v>
      </c>
      <c r="H37" s="616" t="s">
        <v>313</v>
      </c>
      <c r="I37" s="616"/>
      <c r="K37" s="75">
        <f>INDEX(Summary!A1:O163,95,VLOOKUP($D$7,$Q$1:$R$11,2)+4)</f>
        <v>0</v>
      </c>
    </row>
    <row r="38" spans="1:13" x14ac:dyDescent="0.25">
      <c r="A38" s="268" t="s">
        <v>247</v>
      </c>
      <c r="B38" s="269" t="s">
        <v>248</v>
      </c>
      <c r="C38" s="84"/>
      <c r="D38" s="85">
        <f>INDEX(Summary!A1:O163,32,VLOOKUP($D$7,$Q$1:$R$11,2)+4)</f>
        <v>0</v>
      </c>
      <c r="G38" s="76" t="s">
        <v>282</v>
      </c>
      <c r="H38" s="615" t="s">
        <v>316</v>
      </c>
      <c r="I38" s="615"/>
      <c r="J38" s="48"/>
      <c r="K38" s="75">
        <f>INDEX(Summary!A1:O163,96,VLOOKUP($D$7,$Q$1:$R$11,2)+4)</f>
        <v>0</v>
      </c>
    </row>
    <row r="39" spans="1:13" x14ac:dyDescent="0.25">
      <c r="A39" s="86" t="s">
        <v>282</v>
      </c>
      <c r="B39" s="270" t="s">
        <v>316</v>
      </c>
      <c r="C39" s="87"/>
      <c r="D39" s="88">
        <f>ROUNDUP(D38*'Per1'!O149,0)</f>
        <v>0</v>
      </c>
      <c r="K39" s="64"/>
    </row>
    <row r="40" spans="1:13" x14ac:dyDescent="0.25">
      <c r="A40" s="263"/>
      <c r="B40" s="271"/>
      <c r="C40" s="45"/>
      <c r="D40" s="64"/>
      <c r="G40" s="73"/>
      <c r="H40" s="63"/>
      <c r="I40" s="77" t="s">
        <v>307</v>
      </c>
      <c r="J40" s="68"/>
      <c r="K40" s="79"/>
    </row>
    <row r="41" spans="1:13" x14ac:dyDescent="0.25">
      <c r="A41" s="81"/>
      <c r="B41" s="267" t="s">
        <v>307</v>
      </c>
      <c r="C41" s="82"/>
      <c r="D41" s="83"/>
      <c r="G41" s="621">
        <f>'Per1'!C105</f>
        <v>0</v>
      </c>
      <c r="H41" s="617"/>
      <c r="I41" s="617"/>
      <c r="J41" s="617"/>
      <c r="K41" s="619"/>
    </row>
    <row r="42" spans="1:13" x14ac:dyDescent="0.25">
      <c r="A42" s="272" t="s">
        <v>247</v>
      </c>
      <c r="B42" s="89" t="s">
        <v>343</v>
      </c>
      <c r="C42" s="87"/>
      <c r="D42" s="85">
        <f>INDEX(Summary!A1:O163,33,VLOOKUP($D$7,$Q$1:$R$11,2)+4)</f>
        <v>0</v>
      </c>
      <c r="G42" s="74" t="s">
        <v>278</v>
      </c>
      <c r="H42" s="616" t="s">
        <v>310</v>
      </c>
      <c r="I42" s="616"/>
      <c r="K42" s="75">
        <f>INDEX(Summary!A1:O163,98,VLOOKUP($D$7,$Q$1:$R$11,2)+4)</f>
        <v>0</v>
      </c>
    </row>
    <row r="43" spans="1:13" x14ac:dyDescent="0.25">
      <c r="G43" s="74" t="s">
        <v>280</v>
      </c>
      <c r="H43" s="616" t="s">
        <v>313</v>
      </c>
      <c r="I43" s="616"/>
      <c r="K43" s="75">
        <f>INDEX(Summary!A1:O163,99,VLOOKUP($D$7,$Q$1:$R$11,2)+4)</f>
        <v>0</v>
      </c>
    </row>
    <row r="44" spans="1:13" x14ac:dyDescent="0.25">
      <c r="G44" s="76" t="s">
        <v>282</v>
      </c>
      <c r="H44" s="615" t="s">
        <v>316</v>
      </c>
      <c r="I44" s="615"/>
      <c r="J44" s="48"/>
      <c r="K44" s="75">
        <f>INDEX(Summary!A1:O163,100,VLOOKUP($D$7,$Q$1:$R$11,2)+4)</f>
        <v>0</v>
      </c>
    </row>
    <row r="45" spans="1:13" x14ac:dyDescent="0.25">
      <c r="K45" s="64"/>
      <c r="M45" s="263" t="s">
        <v>344</v>
      </c>
    </row>
    <row r="46" spans="1:13" x14ac:dyDescent="0.25">
      <c r="K46" s="64"/>
    </row>
    <row r="47" spans="1:13" hidden="1" x14ac:dyDescent="0.25">
      <c r="A47" s="73"/>
      <c r="B47" s="63"/>
      <c r="C47" s="77" t="s">
        <v>307</v>
      </c>
      <c r="D47" s="90"/>
      <c r="G47" s="73"/>
      <c r="H47" s="63"/>
      <c r="I47" s="77" t="s">
        <v>307</v>
      </c>
      <c r="J47" s="63"/>
      <c r="K47" s="90"/>
    </row>
    <row r="48" spans="1:13" hidden="1" x14ac:dyDescent="0.25">
      <c r="A48" s="91">
        <f>'Per1'!C106</f>
        <v>0</v>
      </c>
      <c r="B48" s="45"/>
      <c r="C48" s="45"/>
      <c r="D48" s="92"/>
      <c r="G48" s="618">
        <f>'Per1'!C114</f>
        <v>0</v>
      </c>
      <c r="H48" s="617"/>
      <c r="I48" s="617"/>
      <c r="J48" s="617"/>
      <c r="K48" s="619"/>
    </row>
    <row r="49" spans="1:11" hidden="1" x14ac:dyDescent="0.25">
      <c r="A49" s="74" t="s">
        <v>278</v>
      </c>
      <c r="B49" s="620" t="s">
        <v>310</v>
      </c>
      <c r="C49" s="620"/>
      <c r="D49" s="75">
        <f>INDEX(Summary!A1:O163,102,VLOOKUP($D$7,$Q$1:$R$11,2)+4)</f>
        <v>0</v>
      </c>
      <c r="G49" s="74" t="s">
        <v>278</v>
      </c>
      <c r="H49" s="620" t="s">
        <v>310</v>
      </c>
      <c r="I49" s="620"/>
      <c r="K49" s="75">
        <f>INDEX(Summary!A1:O163,134,VLOOKUP($D$7,$Q$1:$R$11,2)+4)</f>
        <v>0</v>
      </c>
    </row>
    <row r="50" spans="1:11" hidden="1" x14ac:dyDescent="0.25">
      <c r="A50" s="74" t="s">
        <v>280</v>
      </c>
      <c r="B50" s="616" t="s">
        <v>313</v>
      </c>
      <c r="C50" s="616"/>
      <c r="D50" s="75">
        <f>INDEX(Summary!A1:O163,103,VLOOKUP($D$7,$Q$1:$R$11,2)+4)</f>
        <v>0</v>
      </c>
      <c r="G50" s="74" t="s">
        <v>280</v>
      </c>
      <c r="H50" s="616" t="s">
        <v>313</v>
      </c>
      <c r="I50" s="616"/>
      <c r="K50" s="75">
        <f>INDEX(Summary!A1:O163,135,VLOOKUP($D$7,$Q$1:$R$11,2)+4)</f>
        <v>0</v>
      </c>
    </row>
    <row r="51" spans="1:11" hidden="1" x14ac:dyDescent="0.25">
      <c r="A51" s="76" t="s">
        <v>282</v>
      </c>
      <c r="B51" s="615" t="s">
        <v>316</v>
      </c>
      <c r="C51" s="615"/>
      <c r="D51" s="75">
        <f>INDEX(Summary!A1:O163,104,VLOOKUP($D$7,$Q$1:$R$11,2)+4)</f>
        <v>0</v>
      </c>
      <c r="G51" s="76" t="s">
        <v>282</v>
      </c>
      <c r="H51" s="615" t="s">
        <v>316</v>
      </c>
      <c r="I51" s="615"/>
      <c r="J51" s="48"/>
      <c r="K51" s="75">
        <f>INDEX(Summary!A1:O163,136,VLOOKUP($D$7,$Q$1:$R$11,2)+4)</f>
        <v>0</v>
      </c>
    </row>
    <row r="52" spans="1:11" hidden="1" x14ac:dyDescent="0.25">
      <c r="K52" s="64"/>
    </row>
    <row r="53" spans="1:11" hidden="1" x14ac:dyDescent="0.25">
      <c r="A53" s="73"/>
      <c r="B53" s="63"/>
      <c r="C53" s="77" t="s">
        <v>307</v>
      </c>
      <c r="D53" s="79"/>
      <c r="E53" s="64"/>
      <c r="G53" s="73"/>
      <c r="H53" s="63"/>
      <c r="I53" s="77" t="s">
        <v>307</v>
      </c>
      <c r="J53" s="68"/>
      <c r="K53" s="79"/>
    </row>
    <row r="54" spans="1:11" hidden="1" x14ac:dyDescent="0.25">
      <c r="A54" s="91">
        <f>'Per1'!C107</f>
        <v>0</v>
      </c>
      <c r="B54" s="45"/>
      <c r="C54" s="45"/>
      <c r="D54" s="92"/>
      <c r="G54" s="618">
        <f>'Per1'!C115</f>
        <v>0</v>
      </c>
      <c r="H54" s="617"/>
      <c r="I54" s="617"/>
      <c r="J54" s="617"/>
      <c r="K54" s="619"/>
    </row>
    <row r="55" spans="1:11" hidden="1" x14ac:dyDescent="0.25">
      <c r="A55" s="74" t="s">
        <v>278</v>
      </c>
      <c r="B55" s="616" t="s">
        <v>310</v>
      </c>
      <c r="C55" s="616"/>
      <c r="D55" s="75">
        <f>INDEX(Summary!A1:O163,106,VLOOKUP($D$7,$Q$1:$R$11,2)+4)</f>
        <v>0</v>
      </c>
      <c r="G55" s="74" t="s">
        <v>278</v>
      </c>
      <c r="H55" s="616" t="s">
        <v>310</v>
      </c>
      <c r="I55" s="616"/>
      <c r="K55" s="75">
        <f>INDEX(Summary!A1:O163,138,VLOOKUP($D$7,$Q$1:$R$11,2)+4)</f>
        <v>0</v>
      </c>
    </row>
    <row r="56" spans="1:11" hidden="1" x14ac:dyDescent="0.25">
      <c r="A56" s="74" t="s">
        <v>280</v>
      </c>
      <c r="B56" s="616" t="s">
        <v>313</v>
      </c>
      <c r="C56" s="616"/>
      <c r="D56" s="75">
        <f>INDEX(Summary!A1:O163,107,VLOOKUP($D$7,$Q$1:$R$11,2)+4)</f>
        <v>0</v>
      </c>
      <c r="G56" s="74" t="s">
        <v>280</v>
      </c>
      <c r="H56" s="616" t="s">
        <v>313</v>
      </c>
      <c r="I56" s="616"/>
      <c r="K56" s="75">
        <f>INDEX(Summary!A1:O163,139,VLOOKUP($D$7,$Q$1:$R$11,2)+4)</f>
        <v>0</v>
      </c>
    </row>
    <row r="57" spans="1:11" hidden="1" x14ac:dyDescent="0.25">
      <c r="A57" s="76" t="s">
        <v>282</v>
      </c>
      <c r="B57" s="615" t="s">
        <v>316</v>
      </c>
      <c r="C57" s="615"/>
      <c r="D57" s="75">
        <f>INDEX(Summary!A1:O163,108,VLOOKUP($D$7,$Q$1:$R$11,2)+4)</f>
        <v>0</v>
      </c>
      <c r="G57" s="76" t="s">
        <v>282</v>
      </c>
      <c r="H57" s="615" t="s">
        <v>316</v>
      </c>
      <c r="I57" s="615"/>
      <c r="J57" s="48"/>
      <c r="K57" s="75">
        <f>INDEX(Summary!A1:O163,140,VLOOKUP($D$7,$Q$1:$R$11,2)+4)</f>
        <v>0</v>
      </c>
    </row>
    <row r="58" spans="1:11" hidden="1" x14ac:dyDescent="0.25">
      <c r="D58" s="64"/>
      <c r="K58" s="64"/>
    </row>
    <row r="59" spans="1:11" hidden="1" x14ac:dyDescent="0.25">
      <c r="A59" s="73"/>
      <c r="B59" s="63"/>
      <c r="C59" s="77" t="s">
        <v>307</v>
      </c>
      <c r="D59" s="79"/>
      <c r="G59" s="73"/>
      <c r="H59" s="63"/>
      <c r="I59" s="77" t="s">
        <v>307</v>
      </c>
      <c r="J59" s="68"/>
      <c r="K59" s="79"/>
    </row>
    <row r="60" spans="1:11" hidden="1" x14ac:dyDescent="0.25">
      <c r="A60" s="91">
        <f>'Per1'!C108</f>
        <v>0</v>
      </c>
      <c r="B60" s="45"/>
      <c r="C60" s="45"/>
      <c r="D60" s="92"/>
      <c r="G60" s="618">
        <f>'Per1'!C116</f>
        <v>0</v>
      </c>
      <c r="H60" s="617"/>
      <c r="I60" s="617"/>
      <c r="J60" s="617"/>
      <c r="K60" s="619"/>
    </row>
    <row r="61" spans="1:11" hidden="1" x14ac:dyDescent="0.25">
      <c r="A61" s="74" t="s">
        <v>278</v>
      </c>
      <c r="B61" s="616" t="s">
        <v>310</v>
      </c>
      <c r="C61" s="616"/>
      <c r="D61" s="75">
        <f>INDEX(Summary!A1:O163,110,VLOOKUP($D$7,$Q$1:$R$11,2)+4)</f>
        <v>0</v>
      </c>
      <c r="G61" s="74" t="s">
        <v>278</v>
      </c>
      <c r="H61" s="616" t="s">
        <v>310</v>
      </c>
      <c r="I61" s="616"/>
      <c r="K61" s="75">
        <f>INDEX(Summary!A1:O163,142,VLOOKUP($D$7,$Q$1:$R$11,2)+4)</f>
        <v>0</v>
      </c>
    </row>
    <row r="62" spans="1:11" hidden="1" x14ac:dyDescent="0.25">
      <c r="A62" s="74" t="s">
        <v>280</v>
      </c>
      <c r="B62" s="616" t="s">
        <v>313</v>
      </c>
      <c r="C62" s="616"/>
      <c r="D62" s="75">
        <f>INDEX(Summary!A1:O163,111,VLOOKUP($D$7,$Q$1:$R$11,2)+4)</f>
        <v>0</v>
      </c>
      <c r="G62" s="74" t="s">
        <v>280</v>
      </c>
      <c r="H62" s="616" t="s">
        <v>313</v>
      </c>
      <c r="I62" s="616"/>
      <c r="K62" s="75">
        <f>INDEX(Summary!A1:O163,143,VLOOKUP($D$7,$Q$1:$R$11,2)+4)</f>
        <v>0</v>
      </c>
    </row>
    <row r="63" spans="1:11" hidden="1" x14ac:dyDescent="0.25">
      <c r="A63" s="76" t="s">
        <v>282</v>
      </c>
      <c r="B63" s="615" t="s">
        <v>316</v>
      </c>
      <c r="C63" s="615"/>
      <c r="D63" s="75">
        <f>INDEX(Summary!A1:O163,112,VLOOKUP($D$7,$Q$1:$R$11,2)+4)</f>
        <v>0</v>
      </c>
      <c r="G63" s="76" t="s">
        <v>282</v>
      </c>
      <c r="H63" s="615" t="s">
        <v>316</v>
      </c>
      <c r="I63" s="615"/>
      <c r="J63" s="48"/>
      <c r="K63" s="75">
        <f>INDEX(Summary!A1:O163,144,VLOOKUP($D$7,$Q$1:$R$11,2)+4)</f>
        <v>0</v>
      </c>
    </row>
    <row r="64" spans="1:11" hidden="1" x14ac:dyDescent="0.25">
      <c r="D64" s="64"/>
      <c r="K64" s="64"/>
    </row>
    <row r="65" spans="1:11" hidden="1" x14ac:dyDescent="0.25">
      <c r="A65" s="73"/>
      <c r="B65" s="63"/>
      <c r="C65" s="77" t="s">
        <v>307</v>
      </c>
      <c r="D65" s="79"/>
      <c r="G65" s="73"/>
      <c r="H65" s="63"/>
      <c r="I65" s="77" t="s">
        <v>307</v>
      </c>
      <c r="J65" s="68"/>
      <c r="K65" s="79"/>
    </row>
    <row r="66" spans="1:11" hidden="1" x14ac:dyDescent="0.25">
      <c r="A66" s="91">
        <f>'Per1'!C109</f>
        <v>0</v>
      </c>
      <c r="B66" s="45"/>
      <c r="C66" s="45"/>
      <c r="D66" s="92"/>
      <c r="G66" s="618">
        <f>'Per1'!C117</f>
        <v>0</v>
      </c>
      <c r="H66" s="617"/>
      <c r="I66" s="617"/>
      <c r="J66" s="617"/>
      <c r="K66" s="619"/>
    </row>
    <row r="67" spans="1:11" hidden="1" x14ac:dyDescent="0.25">
      <c r="A67" s="74" t="s">
        <v>278</v>
      </c>
      <c r="B67" s="616" t="s">
        <v>310</v>
      </c>
      <c r="C67" s="616"/>
      <c r="D67" s="75">
        <f>INDEX(Summary!A1:O163,114,VLOOKUP($D$7,$Q$1:$R$11,2)+4)</f>
        <v>0</v>
      </c>
      <c r="G67" s="74" t="s">
        <v>278</v>
      </c>
      <c r="H67" s="616" t="s">
        <v>310</v>
      </c>
      <c r="I67" s="616"/>
      <c r="K67" s="75">
        <f>INDEX(Summary!A1:O163,146,VLOOKUP($D$7,$Q$1:$R$11,2)+4)</f>
        <v>0</v>
      </c>
    </row>
    <row r="68" spans="1:11" hidden="1" x14ac:dyDescent="0.25">
      <c r="A68" s="74" t="s">
        <v>280</v>
      </c>
      <c r="B68" s="616" t="s">
        <v>313</v>
      </c>
      <c r="C68" s="616"/>
      <c r="D68" s="75">
        <f>INDEX(Summary!A1:O163,115,VLOOKUP($D$7,$Q$1:$R$11,2)+4)</f>
        <v>0</v>
      </c>
      <c r="G68" s="74" t="s">
        <v>280</v>
      </c>
      <c r="H68" s="616" t="s">
        <v>313</v>
      </c>
      <c r="I68" s="616"/>
      <c r="K68" s="75">
        <f>INDEX(Summary!A1:O163,147,VLOOKUP($D$7,$Q$1:$R$11,2)+4)</f>
        <v>0</v>
      </c>
    </row>
    <row r="69" spans="1:11" hidden="1" x14ac:dyDescent="0.25">
      <c r="A69" s="76" t="s">
        <v>282</v>
      </c>
      <c r="B69" s="615" t="s">
        <v>316</v>
      </c>
      <c r="C69" s="615"/>
      <c r="D69" s="75">
        <f>INDEX(Summary!A1:O163,116,VLOOKUP($D$7,$Q$1:$R$11,2)+4)</f>
        <v>0</v>
      </c>
      <c r="G69" s="76" t="s">
        <v>282</v>
      </c>
      <c r="H69" s="615" t="s">
        <v>316</v>
      </c>
      <c r="I69" s="615"/>
      <c r="J69" s="48"/>
      <c r="K69" s="75">
        <f>INDEX(Summary!A1:O163,148,VLOOKUP($D$7,$Q$1:$R$11,2)+4)</f>
        <v>0</v>
      </c>
    </row>
    <row r="70" spans="1:11" hidden="1" x14ac:dyDescent="0.25">
      <c r="D70" s="64"/>
      <c r="K70" s="64"/>
    </row>
    <row r="71" spans="1:11" hidden="1" x14ac:dyDescent="0.25">
      <c r="A71" s="73"/>
      <c r="B71" s="63"/>
      <c r="C71" s="77" t="s">
        <v>307</v>
      </c>
      <c r="D71" s="79"/>
      <c r="G71" s="73"/>
      <c r="H71" s="63"/>
      <c r="I71" s="77" t="s">
        <v>307</v>
      </c>
      <c r="J71" s="68"/>
      <c r="K71" s="79"/>
    </row>
    <row r="72" spans="1:11" hidden="1" x14ac:dyDescent="0.25">
      <c r="A72" s="91">
        <f>'Per1'!C110</f>
        <v>0</v>
      </c>
      <c r="B72" s="45"/>
      <c r="C72" s="45"/>
      <c r="D72" s="92"/>
      <c r="G72" s="618">
        <f>'Per1'!C118</f>
        <v>0</v>
      </c>
      <c r="H72" s="617"/>
      <c r="I72" s="617"/>
      <c r="J72" s="617"/>
      <c r="K72" s="619"/>
    </row>
    <row r="73" spans="1:11" hidden="1" x14ac:dyDescent="0.25">
      <c r="A73" s="74" t="s">
        <v>278</v>
      </c>
      <c r="B73" s="616" t="s">
        <v>310</v>
      </c>
      <c r="C73" s="616"/>
      <c r="D73" s="75">
        <f>INDEX(Summary!A1:O163,118,VLOOKUP($D$7,$Q$1:$R$11,2)+4)</f>
        <v>0</v>
      </c>
      <c r="G73" s="74" t="s">
        <v>278</v>
      </c>
      <c r="H73" s="616" t="s">
        <v>310</v>
      </c>
      <c r="I73" s="616"/>
      <c r="K73" s="75">
        <f>INDEX(Summary!A1:O163,150,VLOOKUP($D$7,$Q$1:$R$11,2)+4)</f>
        <v>0</v>
      </c>
    </row>
    <row r="74" spans="1:11" hidden="1" x14ac:dyDescent="0.25">
      <c r="A74" s="74" t="s">
        <v>280</v>
      </c>
      <c r="B74" s="616" t="s">
        <v>313</v>
      </c>
      <c r="C74" s="616"/>
      <c r="D74" s="75">
        <f>INDEX(Summary!A1:O163,119,VLOOKUP($D$7,$Q$1:$R$11,2)+4)</f>
        <v>0</v>
      </c>
      <c r="G74" s="74" t="s">
        <v>280</v>
      </c>
      <c r="H74" s="616" t="s">
        <v>313</v>
      </c>
      <c r="I74" s="616"/>
      <c r="K74" s="75">
        <f>INDEX(Summary!A1:O163,151,VLOOKUP($D$7,$Q$1:$R$11,2)+4)</f>
        <v>0</v>
      </c>
    </row>
    <row r="75" spans="1:11" hidden="1" x14ac:dyDescent="0.25">
      <c r="A75" s="76" t="s">
        <v>282</v>
      </c>
      <c r="B75" s="615" t="s">
        <v>316</v>
      </c>
      <c r="C75" s="615"/>
      <c r="D75" s="75">
        <f>INDEX(Summary!A1:O163,120,VLOOKUP($D$7,$Q$1:$R$11,2)+4)</f>
        <v>0</v>
      </c>
      <c r="G75" s="76" t="s">
        <v>282</v>
      </c>
      <c r="H75" s="615" t="s">
        <v>316</v>
      </c>
      <c r="I75" s="615"/>
      <c r="J75" s="48"/>
      <c r="K75" s="75">
        <f>INDEX(Summary!A1:O163,152,VLOOKUP($D$7,$Q$1:$R$11,2)+4)</f>
        <v>0</v>
      </c>
    </row>
    <row r="76" spans="1:11" hidden="1" x14ac:dyDescent="0.25"/>
    <row r="77" spans="1:11" hidden="1" x14ac:dyDescent="0.25">
      <c r="A77" s="73"/>
      <c r="B77" s="63"/>
      <c r="C77" s="77" t="s">
        <v>307</v>
      </c>
      <c r="D77" s="79"/>
      <c r="G77" s="73"/>
      <c r="H77" s="63"/>
      <c r="I77" s="77" t="s">
        <v>307</v>
      </c>
      <c r="J77" s="63"/>
      <c r="K77" s="90"/>
    </row>
    <row r="78" spans="1:11" hidden="1" x14ac:dyDescent="0.25">
      <c r="A78" s="91">
        <f>'Per1'!C111</f>
        <v>0</v>
      </c>
      <c r="B78" s="45"/>
      <c r="C78" s="45"/>
      <c r="D78" s="92"/>
      <c r="G78" s="618">
        <f>'Per1'!C119</f>
        <v>0</v>
      </c>
      <c r="H78" s="617"/>
      <c r="I78" s="617"/>
      <c r="J78" s="617"/>
      <c r="K78" s="619"/>
    </row>
    <row r="79" spans="1:11" hidden="1" x14ac:dyDescent="0.25">
      <c r="A79" s="74" t="s">
        <v>278</v>
      </c>
      <c r="B79" s="616" t="s">
        <v>310</v>
      </c>
      <c r="C79" s="616"/>
      <c r="D79" s="75">
        <f>INDEX(Summary!A1:O163,122,VLOOKUP($D$7,$Q$1:$R$11,2)+4)</f>
        <v>0</v>
      </c>
      <c r="G79" s="74" t="s">
        <v>278</v>
      </c>
      <c r="H79" s="620" t="s">
        <v>310</v>
      </c>
      <c r="I79" s="620"/>
      <c r="K79" s="75">
        <f>INDEX(Summary!A1:O163,154,VLOOKUP($D$7,$Q$1:$R$11,2)+4)</f>
        <v>0</v>
      </c>
    </row>
    <row r="80" spans="1:11" hidden="1" x14ac:dyDescent="0.25">
      <c r="A80" s="74" t="s">
        <v>280</v>
      </c>
      <c r="B80" s="616" t="s">
        <v>313</v>
      </c>
      <c r="C80" s="616"/>
      <c r="D80" s="75">
        <f>INDEX(Summary!A1:O163,123,VLOOKUP($D$7,$Q$1:$R$11,2)+4)</f>
        <v>0</v>
      </c>
      <c r="G80" s="74" t="s">
        <v>280</v>
      </c>
      <c r="H80" s="616" t="s">
        <v>313</v>
      </c>
      <c r="I80" s="616"/>
      <c r="K80" s="75">
        <f>INDEX(Summary!A1:O163,155,VLOOKUP($D$7,$Q$1:$R$11,2)+4)</f>
        <v>0</v>
      </c>
    </row>
    <row r="81" spans="1:11" hidden="1" x14ac:dyDescent="0.25">
      <c r="A81" s="76" t="s">
        <v>282</v>
      </c>
      <c r="B81" s="615" t="s">
        <v>316</v>
      </c>
      <c r="C81" s="615"/>
      <c r="D81" s="75">
        <f>INDEX(Summary!A1:O163,124,VLOOKUP($D$7,$Q$1:$R$11,2)+4)</f>
        <v>0</v>
      </c>
      <c r="G81" s="76" t="s">
        <v>282</v>
      </c>
      <c r="H81" s="615" t="s">
        <v>316</v>
      </c>
      <c r="I81" s="615"/>
      <c r="J81" s="48"/>
      <c r="K81" s="75">
        <f>INDEX(Summary!A1:O163,156,VLOOKUP($D$7,$Q$1:$R$11,2)+4)</f>
        <v>0</v>
      </c>
    </row>
    <row r="82" spans="1:11" hidden="1" x14ac:dyDescent="0.25">
      <c r="D82" s="64"/>
      <c r="K82" s="64"/>
    </row>
    <row r="83" spans="1:11" hidden="1" x14ac:dyDescent="0.25">
      <c r="A83" s="73"/>
      <c r="B83" s="63"/>
      <c r="C83" s="77" t="s">
        <v>307</v>
      </c>
      <c r="D83" s="79"/>
      <c r="G83" s="73"/>
      <c r="H83" s="63"/>
      <c r="I83" s="77" t="s">
        <v>307</v>
      </c>
      <c r="J83" s="68"/>
      <c r="K83" s="79"/>
    </row>
    <row r="84" spans="1:11" hidden="1" x14ac:dyDescent="0.25">
      <c r="A84" s="91">
        <f>'Per1'!C112</f>
        <v>0</v>
      </c>
      <c r="B84" s="45"/>
      <c r="C84" s="45"/>
      <c r="D84" s="92"/>
      <c r="G84" s="618">
        <f>'Per1'!C120</f>
        <v>0</v>
      </c>
      <c r="H84" s="617"/>
      <c r="I84" s="617"/>
      <c r="J84" s="617"/>
      <c r="K84" s="619"/>
    </row>
    <row r="85" spans="1:11" hidden="1" x14ac:dyDescent="0.25">
      <c r="A85" s="74" t="s">
        <v>278</v>
      </c>
      <c r="B85" s="616" t="s">
        <v>310</v>
      </c>
      <c r="C85" s="616"/>
      <c r="D85" s="75">
        <f>INDEX(Summary!A1:O163,126,VLOOKUP($D$7,$Q$1:$R$11,2)+4)</f>
        <v>0</v>
      </c>
      <c r="G85" s="74" t="s">
        <v>278</v>
      </c>
      <c r="H85" s="616" t="s">
        <v>310</v>
      </c>
      <c r="I85" s="616"/>
      <c r="K85" s="75">
        <f>INDEX(Summary!A1:O163,158,VLOOKUP($D$7,$Q$1:$R$11,2)+4)</f>
        <v>0</v>
      </c>
    </row>
    <row r="86" spans="1:11" hidden="1" x14ac:dyDescent="0.25">
      <c r="A86" s="74" t="s">
        <v>280</v>
      </c>
      <c r="B86" s="616" t="s">
        <v>313</v>
      </c>
      <c r="C86" s="616"/>
      <c r="D86" s="75">
        <f>INDEX(Summary!A1:O163,127,VLOOKUP($D$7,$Q$1:$R$11,2)+4)</f>
        <v>0</v>
      </c>
      <c r="G86" s="74" t="s">
        <v>280</v>
      </c>
      <c r="H86" s="616" t="s">
        <v>313</v>
      </c>
      <c r="I86" s="616"/>
      <c r="K86" s="75">
        <f>INDEX(Summary!A1:O163,159,VLOOKUP($D$7,$Q$1:$R$11,2)+4)</f>
        <v>0</v>
      </c>
    </row>
    <row r="87" spans="1:11" hidden="1" x14ac:dyDescent="0.25">
      <c r="A87" s="76" t="s">
        <v>282</v>
      </c>
      <c r="B87" s="615" t="s">
        <v>316</v>
      </c>
      <c r="C87" s="615"/>
      <c r="D87" s="75">
        <f>INDEX(Summary!A1:O163,128,VLOOKUP($D$7,$Q$1:$R$11,2)+4)</f>
        <v>0</v>
      </c>
      <c r="G87" s="76" t="s">
        <v>282</v>
      </c>
      <c r="H87" s="615" t="s">
        <v>316</v>
      </c>
      <c r="I87" s="615"/>
      <c r="J87" s="48"/>
      <c r="K87" s="75">
        <f>INDEX(Summary!A1:O163,160,VLOOKUP($D$7,$Q$1:$R$11,2)+4)</f>
        <v>0</v>
      </c>
    </row>
    <row r="88" spans="1:11" hidden="1" x14ac:dyDescent="0.25">
      <c r="D88" s="64"/>
      <c r="K88" s="64"/>
    </row>
    <row r="89" spans="1:11" hidden="1" x14ac:dyDescent="0.25">
      <c r="A89" s="73"/>
      <c r="B89" s="63"/>
      <c r="C89" s="77" t="s">
        <v>307</v>
      </c>
      <c r="D89" s="79"/>
      <c r="I89" s="47"/>
      <c r="J89" s="45"/>
      <c r="K89" s="46"/>
    </row>
    <row r="90" spans="1:11" hidden="1" x14ac:dyDescent="0.25">
      <c r="A90" s="91">
        <f>'Per1'!C113</f>
        <v>0</v>
      </c>
      <c r="B90" s="45"/>
      <c r="C90" s="45"/>
      <c r="D90" s="92"/>
      <c r="G90" s="617"/>
      <c r="H90" s="617"/>
      <c r="I90" s="617"/>
      <c r="J90" s="617"/>
      <c r="K90" s="617"/>
    </row>
    <row r="91" spans="1:11" hidden="1" x14ac:dyDescent="0.25">
      <c r="A91" s="74" t="s">
        <v>278</v>
      </c>
      <c r="B91" s="616" t="s">
        <v>310</v>
      </c>
      <c r="C91" s="616"/>
      <c r="D91" s="75">
        <f>INDEX(Summary!A1:O163,130,VLOOKUP($D$7,$Q$1:$R$11,2)+4)</f>
        <v>0</v>
      </c>
      <c r="H91" s="616"/>
      <c r="I91" s="616"/>
      <c r="K91" s="64"/>
    </row>
    <row r="92" spans="1:11" hidden="1" x14ac:dyDescent="0.25">
      <c r="A92" s="74" t="s">
        <v>280</v>
      </c>
      <c r="B92" s="616" t="s">
        <v>313</v>
      </c>
      <c r="C92" s="616"/>
      <c r="D92" s="75">
        <f>INDEX(Summary!A1:O163,131,VLOOKUP($D$7,$Q$1:$R$11,2)+4)</f>
        <v>0</v>
      </c>
      <c r="H92" s="616"/>
      <c r="I92" s="616"/>
      <c r="K92" s="64"/>
    </row>
    <row r="93" spans="1:11" hidden="1" x14ac:dyDescent="0.25">
      <c r="A93" s="76" t="s">
        <v>282</v>
      </c>
      <c r="B93" s="615" t="s">
        <v>316</v>
      </c>
      <c r="C93" s="615"/>
      <c r="D93" s="75">
        <f>INDEX(Summary!A1:O163,132,VLOOKUP($D$7,$Q$1:$R$11,2)+4)</f>
        <v>0</v>
      </c>
      <c r="H93" s="616"/>
      <c r="I93" s="616"/>
      <c r="K93" s="64"/>
    </row>
    <row r="94" spans="1:11" x14ac:dyDescent="0.25">
      <c r="K94" s="64"/>
    </row>
    <row r="95" spans="1:11" x14ac:dyDescent="0.25">
      <c r="I95" s="47"/>
      <c r="J95" s="45"/>
      <c r="K95" s="46"/>
    </row>
    <row r="96" spans="1:11" x14ac:dyDescent="0.25">
      <c r="G96" s="617"/>
      <c r="H96" s="617"/>
      <c r="I96" s="617"/>
      <c r="J96" s="617"/>
      <c r="K96" s="617"/>
    </row>
    <row r="97" spans="7:11" x14ac:dyDescent="0.25">
      <c r="H97" s="616"/>
      <c r="I97" s="616"/>
      <c r="K97" s="64"/>
    </row>
    <row r="98" spans="7:11" x14ac:dyDescent="0.25">
      <c r="H98" s="616"/>
      <c r="I98" s="616"/>
      <c r="K98" s="64"/>
    </row>
    <row r="99" spans="7:11" x14ac:dyDescent="0.25">
      <c r="H99" s="616"/>
      <c r="I99" s="616"/>
      <c r="K99" s="64"/>
    </row>
    <row r="100" spans="7:11" x14ac:dyDescent="0.25">
      <c r="K100" s="64"/>
    </row>
    <row r="101" spans="7:11" x14ac:dyDescent="0.25">
      <c r="I101" s="47"/>
      <c r="J101" s="45"/>
      <c r="K101" s="46"/>
    </row>
    <row r="102" spans="7:11" x14ac:dyDescent="0.25">
      <c r="G102" s="617"/>
      <c r="H102" s="617"/>
      <c r="I102" s="617"/>
      <c r="J102" s="617"/>
      <c r="K102" s="617"/>
    </row>
    <row r="103" spans="7:11" x14ac:dyDescent="0.25">
      <c r="H103" s="616"/>
      <c r="I103" s="616"/>
      <c r="K103" s="64"/>
    </row>
    <row r="104" spans="7:11" x14ac:dyDescent="0.25">
      <c r="H104" s="616"/>
      <c r="I104" s="616"/>
      <c r="K104" s="64"/>
    </row>
    <row r="105" spans="7:11" x14ac:dyDescent="0.25">
      <c r="H105" s="616"/>
      <c r="I105" s="616"/>
      <c r="K105" s="64"/>
    </row>
  </sheetData>
  <mergeCells count="89">
    <mergeCell ref="G17:K17"/>
    <mergeCell ref="C1:E1"/>
    <mergeCell ref="I1:K1"/>
    <mergeCell ref="C2:E2"/>
    <mergeCell ref="F7:G7"/>
    <mergeCell ref="A10:D10"/>
    <mergeCell ref="G35:K35"/>
    <mergeCell ref="H18:I18"/>
    <mergeCell ref="H19:I19"/>
    <mergeCell ref="H20:I20"/>
    <mergeCell ref="G23:K23"/>
    <mergeCell ref="H24:I24"/>
    <mergeCell ref="H25:I25"/>
    <mergeCell ref="H26:I26"/>
    <mergeCell ref="G29:K29"/>
    <mergeCell ref="H30:I30"/>
    <mergeCell ref="H31:I31"/>
    <mergeCell ref="H32:I32"/>
    <mergeCell ref="H44:I44"/>
    <mergeCell ref="H36:I36"/>
    <mergeCell ref="H37:I37"/>
    <mergeCell ref="H38:I38"/>
    <mergeCell ref="G41:K41"/>
    <mergeCell ref="H42:I42"/>
    <mergeCell ref="H43:I43"/>
    <mergeCell ref="B55:C55"/>
    <mergeCell ref="B56:C56"/>
    <mergeCell ref="B57:C57"/>
    <mergeCell ref="B61:C61"/>
    <mergeCell ref="B49:C49"/>
    <mergeCell ref="B50:C50"/>
    <mergeCell ref="B51:C51"/>
    <mergeCell ref="B69:C69"/>
    <mergeCell ref="B73:C73"/>
    <mergeCell ref="B74:C74"/>
    <mergeCell ref="B75:C75"/>
    <mergeCell ref="B62:C62"/>
    <mergeCell ref="B63:C63"/>
    <mergeCell ref="B67:C67"/>
    <mergeCell ref="B68:C68"/>
    <mergeCell ref="G48:K48"/>
    <mergeCell ref="H49:I49"/>
    <mergeCell ref="H50:I50"/>
    <mergeCell ref="H51:I51"/>
    <mergeCell ref="G54:K54"/>
    <mergeCell ref="H55:I55"/>
    <mergeCell ref="H56:I56"/>
    <mergeCell ref="H57:I57"/>
    <mergeCell ref="G60:K60"/>
    <mergeCell ref="H61:I61"/>
    <mergeCell ref="H62:I62"/>
    <mergeCell ref="H63:I63"/>
    <mergeCell ref="G66:K66"/>
    <mergeCell ref="H67:I67"/>
    <mergeCell ref="H68:I68"/>
    <mergeCell ref="H69:I69"/>
    <mergeCell ref="G72:K72"/>
    <mergeCell ref="H73:I73"/>
    <mergeCell ref="H74:I74"/>
    <mergeCell ref="H75:I75"/>
    <mergeCell ref="G78:K78"/>
    <mergeCell ref="H79:I79"/>
    <mergeCell ref="H80:I80"/>
    <mergeCell ref="H81:I81"/>
    <mergeCell ref="G84:K84"/>
    <mergeCell ref="H85:I85"/>
    <mergeCell ref="H86:I86"/>
    <mergeCell ref="H87:I87"/>
    <mergeCell ref="G90:K90"/>
    <mergeCell ref="H91:I91"/>
    <mergeCell ref="H92:I92"/>
    <mergeCell ref="H93:I93"/>
    <mergeCell ref="G96:K96"/>
    <mergeCell ref="H97:I97"/>
    <mergeCell ref="H98:I98"/>
    <mergeCell ref="H99:I99"/>
    <mergeCell ref="G102:K102"/>
    <mergeCell ref="H103:I103"/>
    <mergeCell ref="H104:I104"/>
    <mergeCell ref="H105:I105"/>
    <mergeCell ref="B87:C87"/>
    <mergeCell ref="B91:C91"/>
    <mergeCell ref="B92:C92"/>
    <mergeCell ref="B93:C93"/>
    <mergeCell ref="B79:C79"/>
    <mergeCell ref="B80:C80"/>
    <mergeCell ref="B81:C81"/>
    <mergeCell ref="B85:C85"/>
    <mergeCell ref="B86:C86"/>
  </mergeCells>
  <dataValidations count="1">
    <dataValidation type="list" allowBlank="1" showInputMessage="1" showErrorMessage="1" sqref="D7" xr:uid="{00000000-0002-0000-0D00-000000000000}">
      <formula1>$Q$1:$Q$11</formula1>
    </dataValidation>
  </dataValidations>
  <printOptions horizontalCentered="1"/>
  <pageMargins left="0.25" right="0.25" top="0.5" bottom="0.5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70"/>
  <sheetViews>
    <sheetView topLeftCell="A2" workbookViewId="0">
      <selection activeCell="M28" sqref="M28"/>
    </sheetView>
  </sheetViews>
  <sheetFormatPr defaultColWidth="9.28515625" defaultRowHeight="15" x14ac:dyDescent="0.25"/>
  <cols>
    <col min="1" max="1" width="6.7109375" style="38" customWidth="1"/>
    <col min="2" max="2" width="27" style="38" customWidth="1"/>
    <col min="3" max="3" width="2.7109375" style="38" customWidth="1"/>
    <col min="4" max="4" width="16.42578125" style="38" customWidth="1"/>
    <col min="5" max="5" width="2.7109375" style="38" customWidth="1"/>
    <col min="6" max="6" width="7.7109375" style="38" customWidth="1"/>
    <col min="7" max="7" width="7" style="38" customWidth="1"/>
    <col min="8" max="8" width="2.7109375" style="38" customWidth="1"/>
    <col min="9" max="9" width="10.28515625" style="38" customWidth="1"/>
    <col min="10" max="10" width="2.7109375" style="38" customWidth="1"/>
    <col min="11" max="11" width="14.7109375" style="38" customWidth="1"/>
    <col min="12" max="16384" width="9.28515625" style="38"/>
  </cols>
  <sheetData>
    <row r="1" spans="1:11" x14ac:dyDescent="0.25">
      <c r="A1" s="37"/>
      <c r="B1" s="37" t="s">
        <v>297</v>
      </c>
      <c r="C1" s="623"/>
      <c r="D1" s="623"/>
      <c r="E1" s="623"/>
      <c r="F1" s="37"/>
      <c r="G1" s="37"/>
      <c r="H1" s="37"/>
      <c r="I1" s="624"/>
      <c r="J1" s="624"/>
      <c r="K1" s="624"/>
    </row>
    <row r="2" spans="1:11" x14ac:dyDescent="0.25">
      <c r="A2" s="37"/>
      <c r="B2" s="37" t="s">
        <v>298</v>
      </c>
      <c r="C2" s="623"/>
      <c r="D2" s="623"/>
      <c r="E2" s="623"/>
    </row>
    <row r="4" spans="1:11" ht="21" x14ac:dyDescent="0.35">
      <c r="A4" s="39" t="s">
        <v>299</v>
      </c>
    </row>
    <row r="6" spans="1:11" x14ac:dyDescent="0.25">
      <c r="I6" s="40" t="s">
        <v>300</v>
      </c>
      <c r="K6" s="40" t="s">
        <v>301</v>
      </c>
    </row>
    <row r="7" spans="1:11" x14ac:dyDescent="0.25">
      <c r="B7" s="37" t="s">
        <v>302</v>
      </c>
      <c r="D7" s="62">
        <v>1</v>
      </c>
      <c r="F7" s="625" t="s">
        <v>303</v>
      </c>
      <c r="G7" s="625"/>
      <c r="I7" s="58">
        <f ca="1">INDIRECT("'Per"&amp;$D$7&amp;"'!"&amp;"L5")</f>
        <v>45536</v>
      </c>
      <c r="J7" s="59"/>
      <c r="K7" s="58">
        <f ca="1">INDIRECT("'Per"&amp;$D$7&amp;"'!"&amp;"L7")</f>
        <v>45900</v>
      </c>
    </row>
    <row r="8" spans="1:11" x14ac:dyDescent="0.25">
      <c r="B8" s="37"/>
      <c r="D8" s="41"/>
      <c r="F8" s="42"/>
      <c r="G8" s="42"/>
      <c r="I8" s="43"/>
      <c r="K8" s="43"/>
    </row>
    <row r="10" spans="1:11" ht="46.5" customHeight="1" x14ac:dyDescent="0.25">
      <c r="A10" s="626" t="s">
        <v>304</v>
      </c>
      <c r="B10" s="626"/>
      <c r="C10" s="626"/>
      <c r="D10" s="626"/>
    </row>
    <row r="11" spans="1:11" x14ac:dyDescent="0.25">
      <c r="A11" s="44"/>
    </row>
    <row r="12" spans="1:11" x14ac:dyDescent="0.25">
      <c r="A12" s="42"/>
      <c r="D12" s="40" t="s">
        <v>306</v>
      </c>
      <c r="K12" s="40" t="s">
        <v>306</v>
      </c>
    </row>
    <row r="13" spans="1:11" x14ac:dyDescent="0.25">
      <c r="A13" s="44"/>
    </row>
    <row r="14" spans="1:11" x14ac:dyDescent="0.25">
      <c r="A14" s="44"/>
      <c r="B14" s="47" t="s">
        <v>345</v>
      </c>
      <c r="D14" s="48"/>
      <c r="G14" s="628" t="s">
        <v>307</v>
      </c>
      <c r="H14" s="627"/>
      <c r="I14" s="627"/>
      <c r="K14" s="48"/>
    </row>
    <row r="15" spans="1:11" x14ac:dyDescent="0.25">
      <c r="A15" s="263" t="s">
        <v>218</v>
      </c>
      <c r="B15" s="263" t="s">
        <v>346</v>
      </c>
      <c r="D15" s="50" t="str">
        <f ca="1">INDIRECT("'Per"&amp;$D$7&amp;"'!"&amp;"L47")</f>
        <v>-</v>
      </c>
      <c r="G15" s="617">
        <f>'Per1'!C101</f>
        <v>0</v>
      </c>
      <c r="H15" s="617"/>
      <c r="I15" s="617"/>
      <c r="J15" s="617"/>
      <c r="K15" s="617"/>
    </row>
    <row r="16" spans="1:11" x14ac:dyDescent="0.25">
      <c r="A16" s="263" t="s">
        <v>220</v>
      </c>
      <c r="B16" s="263" t="s">
        <v>347</v>
      </c>
      <c r="D16" s="51">
        <f ca="1">INDIRECT("'Per"&amp;$D$7&amp;"'!"&amp;"M47")</f>
        <v>0</v>
      </c>
      <c r="G16" s="263" t="s">
        <v>279</v>
      </c>
      <c r="H16" s="263" t="s">
        <v>348</v>
      </c>
      <c r="K16" s="50">
        <f ca="1">INDIRECT("'Per"&amp;$D$7&amp;"'!"&amp;"K81")</f>
        <v>0</v>
      </c>
    </row>
    <row r="17" spans="1:11" x14ac:dyDescent="0.25">
      <c r="A17" s="263" t="s">
        <v>222</v>
      </c>
      <c r="B17" s="263" t="s">
        <v>349</v>
      </c>
      <c r="D17" s="51">
        <f ca="1">INDIRECT("'Per"&amp;$D$7&amp;"'!"&amp;"O49")</f>
        <v>0</v>
      </c>
      <c r="G17" s="263" t="s">
        <v>281</v>
      </c>
      <c r="H17" s="263" t="s">
        <v>350</v>
      </c>
      <c r="K17" s="51">
        <f ca="1">INDIRECT("'Per"&amp;$D$7&amp;"'!"&amp;"L81")</f>
        <v>0</v>
      </c>
    </row>
    <row r="18" spans="1:11" x14ac:dyDescent="0.25">
      <c r="A18" s="263" t="s">
        <v>224</v>
      </c>
      <c r="B18" s="263" t="s">
        <v>351</v>
      </c>
      <c r="D18" s="51">
        <f ca="1">INDIRECT("'Per"&amp;$D$7&amp;"'!"&amp;"O50")</f>
        <v>0</v>
      </c>
      <c r="G18" s="263" t="s">
        <v>268</v>
      </c>
      <c r="H18" s="263" t="s">
        <v>352</v>
      </c>
      <c r="K18" s="51">
        <f ca="1">INDIRECT("'Per"&amp;$D$7&amp;"'!"&amp;"M81")</f>
        <v>0</v>
      </c>
    </row>
    <row r="19" spans="1:11" x14ac:dyDescent="0.25">
      <c r="A19" s="263" t="s">
        <v>227</v>
      </c>
      <c r="B19" s="263" t="s">
        <v>353</v>
      </c>
      <c r="D19" s="51">
        <f ca="1">INDIRECT("'Per"&amp;$D$7&amp;"'!"&amp;"O73")</f>
        <v>0</v>
      </c>
      <c r="G19" s="263"/>
      <c r="H19" s="263"/>
      <c r="K19" s="67"/>
    </row>
    <row r="20" spans="1:11" x14ac:dyDescent="0.25">
      <c r="A20" s="263" t="s">
        <v>229</v>
      </c>
      <c r="B20" s="263" t="s">
        <v>354</v>
      </c>
      <c r="D20" s="51">
        <f ca="1">INDIRECT("'Per"&amp;$D$7&amp;"'!"&amp;"O75")</f>
        <v>0</v>
      </c>
      <c r="G20" s="627" t="s">
        <v>307</v>
      </c>
      <c r="H20" s="627"/>
      <c r="I20" s="627"/>
      <c r="K20" s="48"/>
    </row>
    <row r="21" spans="1:11" x14ac:dyDescent="0.25">
      <c r="A21" s="263" t="s">
        <v>231</v>
      </c>
      <c r="B21" s="263" t="s">
        <v>355</v>
      </c>
      <c r="D21" s="51">
        <f ca="1">INDIRECT("'Per"&amp;$D$7&amp;"'!"&amp;"O63")</f>
        <v>0</v>
      </c>
      <c r="G21" s="617">
        <f>'Per1'!C102</f>
        <v>0</v>
      </c>
      <c r="H21" s="617"/>
      <c r="I21" s="617"/>
      <c r="J21" s="617"/>
      <c r="K21" s="617"/>
    </row>
    <row r="22" spans="1:11" x14ac:dyDescent="0.25">
      <c r="A22" s="263" t="s">
        <v>234</v>
      </c>
      <c r="B22" s="263" t="s">
        <v>356</v>
      </c>
      <c r="D22" s="51">
        <f ca="1">INDIRECT("'Per"&amp;$D$7&amp;"'!"&amp;"O59")</f>
        <v>0</v>
      </c>
      <c r="G22" s="263" t="s">
        <v>279</v>
      </c>
      <c r="H22" s="263" t="s">
        <v>348</v>
      </c>
      <c r="K22" s="50">
        <f ca="1">INDIRECT("'Per"&amp;$D$7&amp;"'!"&amp;"K82")</f>
        <v>0</v>
      </c>
    </row>
    <row r="23" spans="1:11" x14ac:dyDescent="0.25">
      <c r="A23" s="263" t="s">
        <v>236</v>
      </c>
      <c r="B23" s="263" t="s">
        <v>357</v>
      </c>
      <c r="D23" s="51">
        <f ca="1">INDIRECT("'Per"&amp;$D$7&amp;"'!"&amp;"O54")</f>
        <v>0</v>
      </c>
      <c r="G23" s="263" t="s">
        <v>281</v>
      </c>
      <c r="H23" s="263" t="s">
        <v>350</v>
      </c>
      <c r="K23" s="51">
        <f ca="1">INDIRECT("'Per"&amp;$D$7&amp;"'!"&amp;"L82")</f>
        <v>0</v>
      </c>
    </row>
    <row r="24" spans="1:11" x14ac:dyDescent="0.25">
      <c r="A24" s="263" t="s">
        <v>238</v>
      </c>
      <c r="B24" s="263" t="s">
        <v>358</v>
      </c>
      <c r="D24" s="51">
        <f ca="1">INDIRECT("'Per"&amp;$D$7&amp;"'!"&amp;"O76")</f>
        <v>0</v>
      </c>
      <c r="G24" s="263" t="s">
        <v>268</v>
      </c>
      <c r="H24" s="263" t="s">
        <v>352</v>
      </c>
      <c r="K24" s="51">
        <f ca="1">INDIRECT("'Per"&amp;$D$7&amp;"'!"&amp;"M82")</f>
        <v>0</v>
      </c>
    </row>
    <row r="25" spans="1:11" x14ac:dyDescent="0.25">
      <c r="A25" s="263" t="s">
        <v>240</v>
      </c>
      <c r="B25" s="263" t="s">
        <v>359</v>
      </c>
      <c r="D25" s="51">
        <f ca="1">INDIRECT("'Per"&amp;$D$7&amp;"'!"&amp;"O52")+INDIRECT("'Per"&amp;$D$7&amp;"'!"&amp;"O53")+INDIRECT("'Per"&amp;$D$7&amp;"'!"&amp;"O55")+INDIRECT("'Per"&amp;$D$7&amp;"'!"&amp;"O57")+INDIRECT("'Per"&amp;$D$7&amp;"'!"&amp;"O58")</f>
        <v>0</v>
      </c>
      <c r="G25" s="263"/>
      <c r="H25" s="263"/>
      <c r="K25" s="64"/>
    </row>
    <row r="26" spans="1:11" x14ac:dyDescent="0.25">
      <c r="A26" s="263" t="s">
        <v>251</v>
      </c>
      <c r="B26" s="263" t="s">
        <v>360</v>
      </c>
      <c r="D26" s="51">
        <f ca="1">INDIRECT("'Per"&amp;$D$7&amp;"'!"&amp;"O60")</f>
        <v>0</v>
      </c>
      <c r="G26" s="627" t="s">
        <v>307</v>
      </c>
      <c r="H26" s="627"/>
      <c r="I26" s="627"/>
      <c r="K26" s="48"/>
    </row>
    <row r="27" spans="1:11" x14ac:dyDescent="0.25">
      <c r="A27" s="263" t="s">
        <v>253</v>
      </c>
      <c r="B27" s="263" t="s">
        <v>361</v>
      </c>
      <c r="D27" s="51">
        <f ca="1">INDIRECT("'Per"&amp;$D$7&amp;"'!"&amp;"O74")</f>
        <v>0</v>
      </c>
      <c r="G27" s="617">
        <f>'Per1'!C103</f>
        <v>0</v>
      </c>
      <c r="H27" s="617"/>
      <c r="I27" s="617"/>
      <c r="J27" s="617"/>
      <c r="K27" s="617"/>
    </row>
    <row r="28" spans="1:11" x14ac:dyDescent="0.25">
      <c r="A28" s="263" t="s">
        <v>255</v>
      </c>
      <c r="B28" s="263" t="s">
        <v>362</v>
      </c>
      <c r="D28" s="51">
        <f ca="1">INDIRECT("'Per"&amp;$D$7&amp;"'!"&amp;"O56")</f>
        <v>0</v>
      </c>
      <c r="G28" s="263" t="s">
        <v>279</v>
      </c>
      <c r="H28" s="263" t="s">
        <v>348</v>
      </c>
      <c r="K28" s="50">
        <f ca="1">INDIRECT("'Per"&amp;$D$7&amp;"'!"&amp;"K83")</f>
        <v>0</v>
      </c>
    </row>
    <row r="29" spans="1:11" x14ac:dyDescent="0.25">
      <c r="A29" s="263" t="s">
        <v>260</v>
      </c>
      <c r="B29" s="263" t="s">
        <v>363</v>
      </c>
      <c r="D29" s="51">
        <f ca="1">INDIRECT("'Per"&amp;$D$7&amp;"'!"&amp;"O70")</f>
        <v>0</v>
      </c>
      <c r="G29" s="263" t="s">
        <v>281</v>
      </c>
      <c r="H29" s="263" t="s">
        <v>350</v>
      </c>
      <c r="K29" s="51">
        <f ca="1">INDIRECT("'Per"&amp;$D$7&amp;"'!"&amp;"L83")</f>
        <v>0</v>
      </c>
    </row>
    <row r="30" spans="1:11" x14ac:dyDescent="0.25">
      <c r="A30" s="263" t="s">
        <v>262</v>
      </c>
      <c r="B30" s="263" t="s">
        <v>364</v>
      </c>
      <c r="D30" s="51">
        <f ca="1">INDIRECT("'Per"&amp;$D$7&amp;"'!"&amp;"O71")</f>
        <v>0</v>
      </c>
      <c r="G30" s="263" t="s">
        <v>268</v>
      </c>
      <c r="H30" s="263" t="s">
        <v>352</v>
      </c>
      <c r="K30" s="51">
        <f ca="1">INDIRECT("'Per"&amp;$D$7&amp;"'!"&amp;"M83")</f>
        <v>0</v>
      </c>
    </row>
    <row r="31" spans="1:11" x14ac:dyDescent="0.25">
      <c r="A31" s="263" t="s">
        <v>264</v>
      </c>
      <c r="B31" s="263" t="s">
        <v>365</v>
      </c>
      <c r="D31" s="51">
        <f ca="1">INDIRECT("'Per"&amp;$D$7&amp;"'!"&amp;"O68")</f>
        <v>0</v>
      </c>
      <c r="H31" s="45"/>
      <c r="I31" s="45"/>
      <c r="K31" s="46"/>
    </row>
    <row r="32" spans="1:11" x14ac:dyDescent="0.25">
      <c r="A32" s="263" t="s">
        <v>257</v>
      </c>
      <c r="B32" s="263" t="s">
        <v>366</v>
      </c>
      <c r="D32" s="51">
        <f ca="1">INDIRECT("'Per"&amp;$D$7&amp;"'!"&amp;"O69")</f>
        <v>0</v>
      </c>
      <c r="G32" s="627" t="s">
        <v>307</v>
      </c>
      <c r="H32" s="627"/>
      <c r="I32" s="627"/>
      <c r="K32" s="48"/>
    </row>
    <row r="33" spans="1:11" x14ac:dyDescent="0.25">
      <c r="A33" s="263" t="s">
        <v>268</v>
      </c>
      <c r="B33" s="263" t="s">
        <v>352</v>
      </c>
      <c r="D33" s="51">
        <f ca="1">INDIRECT("'Per"&amp;$D$7&amp;"'!"&amp;"O98")-INDIRECT("'Per"&amp;$D$7&amp;"'!"&amp;"M86")-D37</f>
        <v>0</v>
      </c>
      <c r="G33" s="617">
        <f>'Per1'!C104</f>
        <v>0</v>
      </c>
      <c r="H33" s="617"/>
      <c r="I33" s="617"/>
      <c r="J33" s="617"/>
      <c r="K33" s="617"/>
    </row>
    <row r="34" spans="1:11" x14ac:dyDescent="0.25">
      <c r="B34" s="45"/>
      <c r="C34" s="45"/>
      <c r="G34" s="263" t="s">
        <v>279</v>
      </c>
      <c r="H34" s="263" t="s">
        <v>348</v>
      </c>
      <c r="K34" s="50">
        <f ca="1">INDIRECT("'Per"&amp;$D$7&amp;"'!"&amp;"K84")</f>
        <v>0</v>
      </c>
    </row>
    <row r="35" spans="1:11" x14ac:dyDescent="0.25">
      <c r="B35" s="265" t="s">
        <v>307</v>
      </c>
      <c r="D35" s="57"/>
      <c r="G35" s="263" t="s">
        <v>281</v>
      </c>
      <c r="H35" s="263" t="s">
        <v>350</v>
      </c>
      <c r="K35" s="51">
        <f ca="1">INDIRECT("'Per"&amp;$D$7&amp;"'!"&amp;"L84")</f>
        <v>0</v>
      </c>
    </row>
    <row r="36" spans="1:11" x14ac:dyDescent="0.25">
      <c r="A36" s="263" t="s">
        <v>247</v>
      </c>
      <c r="B36" s="271" t="s">
        <v>248</v>
      </c>
      <c r="C36" s="45"/>
      <c r="D36" s="50">
        <f ca="1">INDIRECT("'Per"&amp;$D$7&amp;"'!"&amp;"O61")</f>
        <v>0</v>
      </c>
      <c r="G36" s="263" t="s">
        <v>268</v>
      </c>
      <c r="H36" s="263" t="s">
        <v>352</v>
      </c>
      <c r="K36" s="51">
        <f ca="1">INDIRECT("'Per"&amp;$D$7&amp;"'!"&amp;"M84")</f>
        <v>0</v>
      </c>
    </row>
    <row r="37" spans="1:11" x14ac:dyDescent="0.25">
      <c r="A37" s="263" t="s">
        <v>268</v>
      </c>
      <c r="B37" s="263" t="s">
        <v>352</v>
      </c>
      <c r="C37" s="45"/>
      <c r="D37" s="64">
        <f ca="1">ROUNDUP(D36*INDIRECT("'Per"&amp;$D$7&amp;"'!"&amp;"O91"),0)</f>
        <v>0</v>
      </c>
      <c r="F37" s="263"/>
      <c r="H37" s="45"/>
      <c r="I37" s="45"/>
      <c r="K37" s="46"/>
    </row>
    <row r="38" spans="1:11" x14ac:dyDescent="0.25">
      <c r="A38" s="263"/>
      <c r="B38" s="271"/>
      <c r="C38" s="45"/>
      <c r="D38" s="67"/>
      <c r="G38" s="627" t="s">
        <v>307</v>
      </c>
      <c r="H38" s="627"/>
      <c r="I38" s="627"/>
      <c r="K38" s="48"/>
    </row>
    <row r="39" spans="1:11" x14ac:dyDescent="0.25">
      <c r="A39" s="263"/>
      <c r="B39" s="265" t="s">
        <v>307</v>
      </c>
      <c r="D39" s="57"/>
      <c r="G39" s="617">
        <f>'Per1'!C105</f>
        <v>0</v>
      </c>
      <c r="H39" s="617"/>
      <c r="I39" s="617"/>
      <c r="J39" s="617"/>
      <c r="K39" s="617"/>
    </row>
    <row r="40" spans="1:11" x14ac:dyDescent="0.25">
      <c r="A40" s="263" t="s">
        <v>247</v>
      </c>
      <c r="B40" s="49" t="s">
        <v>343</v>
      </c>
      <c r="C40" s="45"/>
      <c r="D40" s="50">
        <f ca="1">INDIRECT("'Per"&amp;$D$7&amp;"'!"&amp;"O77")</f>
        <v>0</v>
      </c>
      <c r="G40" s="263" t="s">
        <v>279</v>
      </c>
      <c r="H40" s="263" t="s">
        <v>348</v>
      </c>
      <c r="K40" s="50">
        <f ca="1">INDIRECT("'Per"&amp;$D$7&amp;"'!"&amp;"K85")</f>
        <v>0</v>
      </c>
    </row>
    <row r="41" spans="1:11" x14ac:dyDescent="0.25">
      <c r="B41" s="45"/>
      <c r="C41" s="45"/>
      <c r="D41" s="46"/>
      <c r="G41" s="263" t="s">
        <v>281</v>
      </c>
      <c r="H41" s="263" t="s">
        <v>350</v>
      </c>
      <c r="K41" s="51">
        <f ca="1">INDIRECT("'Per"&amp;$D$7&amp;"'!"&amp;"L85")</f>
        <v>0</v>
      </c>
    </row>
    <row r="42" spans="1:11" x14ac:dyDescent="0.25">
      <c r="B42" s="47"/>
      <c r="D42" s="46"/>
      <c r="G42" s="263" t="s">
        <v>268</v>
      </c>
      <c r="H42" s="263" t="s">
        <v>352</v>
      </c>
      <c r="K42" s="51">
        <f ca="1">INDIRECT("'Per"&amp;$D$7&amp;"'!"&amp;"M85")</f>
        <v>0</v>
      </c>
    </row>
    <row r="43" spans="1:11" x14ac:dyDescent="0.25">
      <c r="B43" s="47"/>
      <c r="D43" s="46"/>
      <c r="G43" s="263"/>
      <c r="H43" s="263"/>
      <c r="K43" s="64"/>
    </row>
    <row r="44" spans="1:11" x14ac:dyDescent="0.25">
      <c r="A44" s="48"/>
    </row>
    <row r="45" spans="1:11" x14ac:dyDescent="0.25">
      <c r="B45" s="68" t="s">
        <v>367</v>
      </c>
      <c r="C45" s="68"/>
      <c r="D45" s="67">
        <f ca="1">SUM(D15:D33,D36,D37,D40,K16:K18,K22:K24,K28:K30,K34:K36,K40:K42)</f>
        <v>0</v>
      </c>
      <c r="E45" s="63"/>
      <c r="F45" s="63"/>
      <c r="G45" s="63"/>
      <c r="H45" s="63"/>
      <c r="I45" s="63"/>
      <c r="J45" s="63"/>
      <c r="K45" s="63"/>
    </row>
    <row r="70" spans="4:4" x14ac:dyDescent="0.25">
      <c r="D70" s="46"/>
    </row>
  </sheetData>
  <mergeCells count="15">
    <mergeCell ref="C1:E1"/>
    <mergeCell ref="I1:K1"/>
    <mergeCell ref="C2:E2"/>
    <mergeCell ref="A10:D10"/>
    <mergeCell ref="G38:I38"/>
    <mergeCell ref="G32:I32"/>
    <mergeCell ref="G26:I26"/>
    <mergeCell ref="G20:I20"/>
    <mergeCell ref="G14:I14"/>
    <mergeCell ref="F7:G7"/>
    <mergeCell ref="G39:K39"/>
    <mergeCell ref="G33:K33"/>
    <mergeCell ref="G27:K27"/>
    <mergeCell ref="G21:K21"/>
    <mergeCell ref="G15:K15"/>
  </mergeCells>
  <dataValidations count="1">
    <dataValidation type="list" allowBlank="1" showInputMessage="1" showErrorMessage="1" sqref="D7" xr:uid="{00000000-0002-0000-0E00-000000000000}">
      <formula1>"1,2,3,4,5"</formula1>
    </dataValidation>
  </dataValidations>
  <printOptions horizontalCentered="1"/>
  <pageMargins left="0.25" right="0.2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7C81AD41AAF40A0CE32163BE00A6E" ma:contentTypeVersion="11" ma:contentTypeDescription="Create a new document." ma:contentTypeScope="" ma:versionID="f207f63f88a9699153dc68c38dd74273">
  <xsd:schema xmlns:xsd="http://www.w3.org/2001/XMLSchema" xmlns:xs="http://www.w3.org/2001/XMLSchema" xmlns:p="http://schemas.microsoft.com/office/2006/metadata/properties" xmlns:ns2="8308069e-0926-4bf9-816f-97836a33acf5" xmlns:ns3="64b4e01d-3378-479d-8f19-5001df07d83d" targetNamespace="http://schemas.microsoft.com/office/2006/metadata/properties" ma:root="true" ma:fieldsID="4a52ab59966e8efc7559b2eb09907fea" ns2:_="" ns3:_="">
    <xsd:import namespace="8308069e-0926-4bf9-816f-97836a33acf5"/>
    <xsd:import namespace="64b4e01d-3378-479d-8f19-5001df07d8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069e-0926-4bf9-816f-97836a33ac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4e01d-3378-479d-8f19-5001df07d83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4765CF-56F0-4855-8C31-BBF74386C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08069e-0926-4bf9-816f-97836a33acf5"/>
    <ds:schemaRef ds:uri="64b4e01d-3378-479d-8f19-5001df07d8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556A2C-B5C0-4064-88EF-BBD6658513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AF212A-94AB-4E90-9342-147F1194FE52}">
  <ds:schemaRefs>
    <ds:schemaRef ds:uri="http://schemas.microsoft.com/office/2006/metadata/properties"/>
    <ds:schemaRef ds:uri="http://schemas.microsoft.com/office/infopath/2007/PartnerControls"/>
    <ds:schemaRef ds:uri="64b4e01d-3378-479d-8f19-5001df07d83d"/>
    <ds:schemaRef ds:uri="8308069e-0926-4bf9-816f-97836a33acf5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23</vt:i4>
      </vt:variant>
    </vt:vector>
  </HeadingPairs>
  <TitlesOfParts>
    <vt:vector size="39" baseType="lpstr">
      <vt:lpstr>Notes</vt:lpstr>
      <vt:lpstr>Unhiding_Rows&amp;Tabs</vt:lpstr>
      <vt:lpstr>Per1</vt:lpstr>
      <vt:lpstr>Per2</vt:lpstr>
      <vt:lpstr>Per3</vt:lpstr>
      <vt:lpstr>Per4</vt:lpstr>
      <vt:lpstr>Per5</vt:lpstr>
      <vt:lpstr>Per6</vt:lpstr>
      <vt:lpstr>Per7</vt:lpstr>
      <vt:lpstr>Per8</vt:lpstr>
      <vt:lpstr>Per9</vt:lpstr>
      <vt:lpstr>Per10</vt:lpstr>
      <vt:lpstr>Summary</vt:lpstr>
      <vt:lpstr>ProtectingSheet</vt:lpstr>
      <vt:lpstr>Setup_L4 (RSC use only)</vt:lpstr>
      <vt:lpstr>Setup_L5 (RSC use only)</vt:lpstr>
      <vt:lpstr>EmpPer</vt:lpstr>
      <vt:lpstr>FT_BE_09</vt:lpstr>
      <vt:lpstr>FT_BE_12</vt:lpstr>
      <vt:lpstr>Hourly</vt:lpstr>
      <vt:lpstr>Notes!Print_Area</vt:lpstr>
      <vt:lpstr>'Per1'!Print_Area</vt:lpstr>
      <vt:lpstr>'Per10'!Print_Area</vt:lpstr>
      <vt:lpstr>'Per2'!Print_Area</vt:lpstr>
      <vt:lpstr>'Per3'!Print_Area</vt:lpstr>
      <vt:lpstr>'Per4'!Print_Area</vt:lpstr>
      <vt:lpstr>'Per5'!Print_Area</vt:lpstr>
      <vt:lpstr>'Per6'!Print_Area</vt:lpstr>
      <vt:lpstr>'Per7'!Print_Area</vt:lpstr>
      <vt:lpstr>'Per8'!Print_Area</vt:lpstr>
      <vt:lpstr>'Per9'!Print_Area</vt:lpstr>
      <vt:lpstr>ProtectingSheet!Print_Area</vt:lpstr>
      <vt:lpstr>'Setup_L4 (RSC use only)'!Print_Area</vt:lpstr>
      <vt:lpstr>'Setup_L5 (RSC use only)'!Print_Area</vt:lpstr>
      <vt:lpstr>Summary!Print_Area</vt:lpstr>
      <vt:lpstr>'Unhiding_Rows&amp;Tabs'!Print_Area</vt:lpstr>
      <vt:lpstr>PT_BE_12</vt:lpstr>
      <vt:lpstr>PT_NB_12</vt:lpstr>
      <vt:lpstr>Select</vt:lpstr>
    </vt:vector>
  </TitlesOfParts>
  <Manager/>
  <Company>UTSA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Technology</dc:creator>
  <cp:keywords/>
  <dc:description/>
  <cp:lastModifiedBy>Justin Marmolejo</cp:lastModifiedBy>
  <cp:revision/>
  <dcterms:created xsi:type="dcterms:W3CDTF">2001-05-08T17:32:17Z</dcterms:created>
  <dcterms:modified xsi:type="dcterms:W3CDTF">2024-10-24T15:24:31Z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0x010100E737C81AD41AAF40A0CE32163BE00A6E</vt:lpwstr>
  </property>
</Properties>
</file>